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92.168.188.1\fritz.nas\INTENSO\GE-BE-IN\"/>
    </mc:Choice>
  </mc:AlternateContent>
  <xr:revisionPtr revIDLastSave="0" documentId="13_ncr:1_{5C767397-82CC-49C3-87B8-13AD81A9CB3E}" xr6:coauthVersionLast="47" xr6:coauthVersionMax="47" xr10:uidLastSave="{00000000-0000-0000-0000-000000000000}"/>
  <bookViews>
    <workbookView xWindow="-120" yWindow="-120" windowWidth="24240" windowHeight="13020" tabRatio="583" xr2:uid="{00000000-000D-0000-FFFF-FFFF00000000}"/>
  </bookViews>
  <sheets>
    <sheet name="Pers_Daten" sheetId="1" r:id="rId1"/>
    <sheet name="Berechn_" sheetId="3" r:id="rId2"/>
  </sheets>
  <externalReferences>
    <externalReference r:id="rId3"/>
  </externalReferences>
  <definedNames>
    <definedName name="Alter">Pers_Daten!$H$94</definedName>
    <definedName name="Alter_2">"$#REF!.$#REF!$#REF!"</definedName>
    <definedName name="D_EIN">Berechn_!$F$6</definedName>
    <definedName name="D_END">Berechn_!$F$7</definedName>
    <definedName name="Dx">Berechn_!$F$10:$F$121</definedName>
    <definedName name="Dy">#N/A</definedName>
    <definedName name="DY_EIN">"$#REF!.$D$102"</definedName>
    <definedName name="Dy_END">"$#REF!.$D$103"</definedName>
    <definedName name="EA">Berechn_!$E$6</definedName>
    <definedName name="einheit">Pers_Daten!$L$98</definedName>
    <definedName name="Excel_BuiltIn_Print_Area_1">Pers_Daten!$B$86:$I$112</definedName>
    <definedName name="Excel_BuiltIn_Print_Area_10">"$#REF!.$A$4:$AE$44"</definedName>
    <definedName name="Excel_BuiltIn_Print_Area_2">"$#REF!.$B$1:$L$71"</definedName>
    <definedName name="Excel_BuiltIn_Print_Area_4">"$#REF!.$A$4:$AC$33"</definedName>
    <definedName name="Excel_BuiltIn_Print_Area_5">"$#REF!.$A$4:$AE$50"</definedName>
    <definedName name="Excel_BuiltIn_Print_Area_6">"$#REF!.$A$4:$AC$33"</definedName>
    <definedName name="Excel_BuiltIn_Print_Area_7">"$#REF!.$A$4:$AD$42"</definedName>
    <definedName name="Excel_BuiltIn_Print_Area_8">"$#REF!.$A$4:$AA$52"</definedName>
    <definedName name="Excel_BuiltIn_Print_Area_9">"$#REF!.$A$4:$AD$34"</definedName>
    <definedName name="GS">Pers_Daten!$L$89</definedName>
    <definedName name="GS_2">"$#REF!.$#REF!$#REF!"</definedName>
    <definedName name="JBeitr">Pers_Daten!$L$97</definedName>
    <definedName name="JBeitr_2">"$#REF!.$#REF!$#REF!"</definedName>
    <definedName name="k">Berechn_!$AM$10</definedName>
    <definedName name="N_EIN">Berechn_!$G$6</definedName>
    <definedName name="N_END">Berechn_!$G$7</definedName>
    <definedName name="Nx">Berechn_!$G$10:$G$121</definedName>
    <definedName name="Ny">#N/A</definedName>
    <definedName name="Ny_EIN">"$#REF!.$E$102"</definedName>
    <definedName name="Ny_END">"$#REF!.$E$103"</definedName>
    <definedName name="p___0">Berechn_!$E$1</definedName>
    <definedName name="Rentzus">Pers_Daten!$O$88</definedName>
    <definedName name="Rückstell">Berechn_!$S$10:$S$110</definedName>
    <definedName name="Sonder">"$#REF!.$F$6"</definedName>
    <definedName name="st___0">Pers_Daten!$O$90</definedName>
    <definedName name="t___0">Berechn_!$E$4</definedName>
    <definedName name="Tarif">Pers_Daten!$M$86</definedName>
    <definedName name="Tarif_2">"$#REF!.$#REF!$#REF!"</definedName>
    <definedName name="Todkap">Berechn_!$W$10:$W$110</definedName>
    <definedName name="Über">Pers_Daten!$H$105</definedName>
    <definedName name="Über_2">"$#REF!.$#REF!$#REF!"</definedName>
    <definedName name="V">Berechn_!$E$2</definedName>
    <definedName name="V_4">"$#REF!.$D$2"</definedName>
    <definedName name="Vielfach">Pers_Daten!$M$97</definedName>
    <definedName name="Vielfach_2">"$#REF!.$#REF!$#REF!"</definedName>
    <definedName name="VS">Berechn_!$L$7</definedName>
    <definedName name="VSy">"$#REF!.$H$10:$H$99"</definedName>
    <definedName name="x">Berechn_!$A$10:$A$110</definedName>
    <definedName name="X_EIN">Pers_Daten!$H$91</definedName>
    <definedName name="X_EIN_2">"$#REF!.$#REF!$#REF!"</definedName>
    <definedName name="X_END">Pers_Daten!$L$92</definedName>
    <definedName name="X_END_2">"$#REF!.$#REF!$#REF!"</definedName>
    <definedName name="Xtw">[1]Pers_Daten!$M$13</definedName>
    <definedName name="Z_90660716_89FA_46FB_859D_354C90F91A05_.wvu.Cols" localSheetId="1" hidden="1">Berechn_!$B:$AB,Berechn_!$AE:$AP</definedName>
    <definedName name="Z_90660716_89FA_46FB_859D_354C90F91A05_.wvu.Cols" localSheetId="0" hidden="1">Pers_Daten!$I:$I,Pers_Daten!$M:$XFD</definedName>
    <definedName name="Z_90660716_89FA_46FB_859D_354C90F91A05_.wvu.Rows" localSheetId="0" hidden="1">Pers_Daten!$198:$1048576,Pers_Daten!$37:$55,Pers_Daten!$61:$197</definedName>
    <definedName name="Zins">Pers_Daten!$H$106</definedName>
    <definedName name="Zins_2">"$#REF!.$#REF!$#REF!"</definedName>
  </definedNames>
  <calcPr calcId="191029"/>
  <customWorkbookViews>
    <customWorkbookView name="  - Persönliche Ansicht" guid="{90660716-89FA-46FB-859D-354C90F91A05}" mergeInterval="0" personalView="1" maximized="1" windowWidth="909" windowHeight="696" tabRatio="58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 l="1"/>
  <c r="V32" i="1" s="1"/>
  <c r="V33" i="1" s="1"/>
  <c r="V34" i="1" s="1"/>
  <c r="V35" i="1" s="1"/>
  <c r="V36" i="1" s="1"/>
  <c r="V37" i="1" s="1"/>
  <c r="V38" i="1" s="1"/>
  <c r="V30" i="1"/>
  <c r="U29" i="1"/>
  <c r="U30" i="1" s="1"/>
  <c r="U31" i="1" s="1"/>
  <c r="U32" i="1" s="1"/>
  <c r="U33" i="1" s="1"/>
  <c r="U34" i="1" s="1"/>
  <c r="U35" i="1" s="1"/>
  <c r="U36" i="1" s="1"/>
  <c r="U37" i="1" s="1"/>
  <c r="U38" i="1" s="1"/>
  <c r="S27" i="1"/>
  <c r="W37" i="1" s="1"/>
  <c r="X30" i="1" l="1"/>
  <c r="X29" i="1"/>
  <c r="W31" i="1"/>
  <c r="X32" i="1"/>
  <c r="W34" i="1"/>
  <c r="X37" i="1"/>
  <c r="Y37" i="1" s="1"/>
  <c r="Z37" i="1" s="1"/>
  <c r="W30" i="1"/>
  <c r="X31" i="1"/>
  <c r="W33" i="1"/>
  <c r="X34" i="1"/>
  <c r="W36" i="1"/>
  <c r="W38" i="1"/>
  <c r="X28" i="1"/>
  <c r="X33" i="1"/>
  <c r="W35" i="1"/>
  <c r="X36" i="1"/>
  <c r="X38" i="1"/>
  <c r="W28" i="1"/>
  <c r="W29" i="1"/>
  <c r="W32" i="1"/>
  <c r="X35" i="1"/>
  <c r="H107" i="1"/>
  <c r="H106" i="1"/>
  <c r="H105" i="1"/>
  <c r="K25" i="1"/>
  <c r="K24" i="1"/>
  <c r="Y32" i="1" l="1"/>
  <c r="Z32" i="1" s="1"/>
  <c r="Y29" i="1"/>
  <c r="Z29" i="1" s="1"/>
  <c r="Y35" i="1"/>
  <c r="Z35" i="1" s="1"/>
  <c r="Y30" i="1"/>
  <c r="Z30" i="1" s="1"/>
  <c r="Y36" i="1"/>
  <c r="Z36" i="1" s="1"/>
  <c r="Y31" i="1"/>
  <c r="Z31" i="1" s="1"/>
  <c r="Y33" i="1"/>
  <c r="Z33" i="1" s="1"/>
  <c r="Y34" i="1"/>
  <c r="Z34" i="1" s="1"/>
  <c r="Y28" i="1"/>
  <c r="Z28" i="1" s="1"/>
  <c r="Y38" i="1"/>
  <c r="Z38" i="1" s="1"/>
  <c r="J24" i="1"/>
  <c r="Z39" i="1" l="1"/>
  <c r="D92" i="1"/>
  <c r="H92" i="1"/>
  <c r="F91" i="1"/>
  <c r="E91" i="1"/>
  <c r="D91" i="1"/>
  <c r="F90" i="1"/>
  <c r="E90" i="1"/>
  <c r="D90" i="1"/>
  <c r="Q86" i="1" l="1"/>
  <c r="Y86" i="1"/>
  <c r="X87" i="1"/>
  <c r="U89" i="1"/>
  <c r="R90" i="1"/>
  <c r="U90" i="1"/>
  <c r="R91" i="1"/>
  <c r="U91" i="1"/>
  <c r="W91" i="1"/>
  <c r="R92" i="1"/>
  <c r="R93" i="1"/>
  <c r="R94" i="1"/>
  <c r="U94" i="1"/>
  <c r="C100" i="1"/>
  <c r="P99" i="1"/>
  <c r="U99" i="1"/>
  <c r="X100" i="1"/>
  <c r="P101" i="1"/>
  <c r="P102" i="1" s="1"/>
  <c r="P103" i="1" s="1"/>
  <c r="P104" i="1" s="1"/>
  <c r="P105" i="1" s="1"/>
  <c r="P106" i="1" s="1"/>
  <c r="P107" i="1" s="1"/>
  <c r="P108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AI1" i="3"/>
  <c r="AJ2" i="3"/>
  <c r="AJ3" i="3"/>
  <c r="AJ4" i="3"/>
  <c r="AO1" i="3"/>
  <c r="AP1" i="3"/>
  <c r="E2" i="3"/>
  <c r="H2" i="3"/>
  <c r="AI2" i="3"/>
  <c r="AO2" i="3"/>
  <c r="AP2" i="3"/>
  <c r="H3" i="3"/>
  <c r="AI3" i="3"/>
  <c r="AM3" i="3"/>
  <c r="AO3" i="3"/>
  <c r="AP3" i="3"/>
  <c r="AI4" i="3"/>
  <c r="AJ5" i="3" s="1"/>
  <c r="AJ6" i="3" s="1"/>
  <c r="AJ7" i="3" s="1"/>
  <c r="AM4" i="3"/>
  <c r="AO4" i="3"/>
  <c r="AO13" i="3" s="1"/>
  <c r="AM10" i="3" s="1"/>
  <c r="E3" i="3" s="1"/>
  <c r="AP4" i="3"/>
  <c r="AI5" i="3"/>
  <c r="AM5" i="3"/>
  <c r="AO5" i="3"/>
  <c r="AP5" i="3"/>
  <c r="AI6" i="3"/>
  <c r="E11" i="3"/>
  <c r="E12" i="3" s="1"/>
  <c r="AO6" i="3"/>
  <c r="AP6" i="3"/>
  <c r="AI7" i="3"/>
  <c r="AO7" i="3"/>
  <c r="AP7" i="3"/>
  <c r="AI8" i="3"/>
  <c r="AM8" i="3"/>
  <c r="AO8" i="3"/>
  <c r="AP8" i="3"/>
  <c r="AI9" i="3"/>
  <c r="AO9" i="3"/>
  <c r="AP9" i="3"/>
  <c r="AI10" i="3"/>
  <c r="AO10" i="3"/>
  <c r="AP10" i="3"/>
  <c r="AI11" i="3"/>
  <c r="AO11" i="3"/>
  <c r="AP11" i="3"/>
  <c r="AO12" i="3"/>
  <c r="AP12" i="3"/>
  <c r="A111" i="3"/>
  <c r="A112" i="3" s="1"/>
  <c r="A113" i="3" s="1"/>
  <c r="A114" i="3" s="1"/>
  <c r="A115" i="3"/>
  <c r="A116" i="3" s="1"/>
  <c r="A117" i="3" s="1"/>
  <c r="A118" i="3" s="1"/>
  <c r="A119" i="3" s="1"/>
  <c r="A120" i="3" s="1"/>
  <c r="A121" i="3" s="1"/>
  <c r="L89" i="1"/>
  <c r="M89" i="1" s="1"/>
  <c r="A2" i="3" s="1"/>
  <c r="L91" i="1"/>
  <c r="M91" i="1"/>
  <c r="L92" i="1"/>
  <c r="L95" i="1"/>
  <c r="M95" i="1"/>
  <c r="D96" i="1"/>
  <c r="M97" i="1"/>
  <c r="M7" i="3" s="1"/>
  <c r="M101" i="1"/>
  <c r="L107" i="1"/>
  <c r="W99" i="1"/>
  <c r="V99" i="1"/>
  <c r="F10" i="3" l="1"/>
  <c r="AJ8" i="3"/>
  <c r="AJ9" i="3" s="1"/>
  <c r="AJ10" i="3" s="1"/>
  <c r="AJ11" i="3" s="1"/>
  <c r="F12" i="3"/>
  <c r="E13" i="3"/>
  <c r="M122" i="3"/>
  <c r="F11" i="3"/>
  <c r="K7" i="3"/>
  <c r="L7" i="3"/>
  <c r="N115" i="3" s="1"/>
  <c r="K78" i="3"/>
  <c r="L78" i="3" s="1"/>
  <c r="J99" i="3"/>
  <c r="K73" i="3"/>
  <c r="L73" i="3" s="1"/>
  <c r="J108" i="3"/>
  <c r="K27" i="3"/>
  <c r="K97" i="3"/>
  <c r="L97" i="3" s="1"/>
  <c r="K91" i="3"/>
  <c r="L91" i="3" s="1"/>
  <c r="K95" i="3"/>
  <c r="L95" i="3" s="1"/>
  <c r="J107" i="3"/>
  <c r="J91" i="3"/>
  <c r="K12" i="3"/>
  <c r="K109" i="3"/>
  <c r="L109" i="3" s="1"/>
  <c r="K18" i="3"/>
  <c r="K65" i="3"/>
  <c r="K31" i="3"/>
  <c r="J88" i="3"/>
  <c r="K107" i="3"/>
  <c r="L107" i="3" s="1"/>
  <c r="K20" i="3"/>
  <c r="K22" i="3"/>
  <c r="K24" i="3"/>
  <c r="K68" i="3"/>
  <c r="K39" i="3"/>
  <c r="J95" i="3"/>
  <c r="K56" i="3"/>
  <c r="K33" i="3"/>
  <c r="K30" i="3"/>
  <c r="K72" i="3"/>
  <c r="L72" i="3" s="1"/>
  <c r="K102" i="3"/>
  <c r="L102" i="3" s="1"/>
  <c r="K17" i="3"/>
  <c r="K70" i="3"/>
  <c r="K100" i="3"/>
  <c r="L100" i="3" s="1"/>
  <c r="K80" i="3"/>
  <c r="L80" i="3" s="1"/>
  <c r="K44" i="3"/>
  <c r="K62" i="3"/>
  <c r="K83" i="3"/>
  <c r="L83" i="3" s="1"/>
  <c r="K87" i="3"/>
  <c r="L87" i="3" s="1"/>
  <c r="K71" i="3"/>
  <c r="L71" i="3" s="1"/>
  <c r="K82" i="3"/>
  <c r="L82" i="3" s="1"/>
  <c r="K51" i="3"/>
  <c r="K67" i="3"/>
  <c r="J98" i="3"/>
  <c r="J93" i="3"/>
  <c r="K93" i="3"/>
  <c r="L93" i="3" s="1"/>
  <c r="K53" i="3"/>
  <c r="K81" i="3"/>
  <c r="L81" i="3" s="1"/>
  <c r="J96" i="3"/>
  <c r="K74" i="3"/>
  <c r="L74" i="3" s="1"/>
  <c r="J102" i="3"/>
  <c r="J97" i="3"/>
  <c r="K58" i="3"/>
  <c r="K79" i="3"/>
  <c r="L79" i="3" s="1"/>
  <c r="K75" i="3"/>
  <c r="L75" i="3" s="1"/>
  <c r="K90" i="3"/>
  <c r="L90" i="3" s="1"/>
  <c r="K69" i="3"/>
  <c r="K25" i="3"/>
  <c r="J94" i="3"/>
  <c r="K98" i="3"/>
  <c r="L98" i="3" s="1"/>
  <c r="K42" i="3"/>
  <c r="K28" i="3"/>
  <c r="J103" i="3"/>
  <c r="K38" i="3"/>
  <c r="J86" i="3"/>
  <c r="K92" i="3"/>
  <c r="L92" i="3" s="1"/>
  <c r="K16" i="3"/>
  <c r="K86" i="3"/>
  <c r="L86" i="3" s="1"/>
  <c r="J89" i="3"/>
  <c r="J100" i="3"/>
  <c r="J90" i="3"/>
  <c r="J105" i="3"/>
  <c r="K84" i="3"/>
  <c r="L84" i="3" s="1"/>
  <c r="K105" i="3"/>
  <c r="L105" i="3" s="1"/>
  <c r="K88" i="3"/>
  <c r="L88" i="3" s="1"/>
  <c r="K10" i="3"/>
  <c r="K15" i="3"/>
  <c r="V92" i="1"/>
  <c r="K85" i="3"/>
  <c r="L85" i="3" s="1"/>
  <c r="K57" i="3"/>
  <c r="K48" i="3"/>
  <c r="K45" i="3"/>
  <c r="K49" i="3"/>
  <c r="K64" i="3"/>
  <c r="K50" i="3"/>
  <c r="B7" i="3"/>
  <c r="K96" i="3"/>
  <c r="L96" i="3" s="1"/>
  <c r="K101" i="3"/>
  <c r="L101" i="3" s="1"/>
  <c r="K21" i="3"/>
  <c r="J106" i="3"/>
  <c r="K61" i="3"/>
  <c r="J87" i="3"/>
  <c r="K103" i="3"/>
  <c r="L103" i="3" s="1"/>
  <c r="J109" i="3"/>
  <c r="K19" i="3"/>
  <c r="K106" i="3"/>
  <c r="L106" i="3" s="1"/>
  <c r="K14" i="3"/>
  <c r="J92" i="3"/>
  <c r="K77" i="3"/>
  <c r="L77" i="3" s="1"/>
  <c r="K41" i="3"/>
  <c r="K54" i="3"/>
  <c r="K26" i="3"/>
  <c r="K37" i="3"/>
  <c r="K43" i="3"/>
  <c r="K40" i="3"/>
  <c r="K63" i="3"/>
  <c r="K76" i="3"/>
  <c r="L76" i="3" s="1"/>
  <c r="K29" i="3"/>
  <c r="K94" i="3"/>
  <c r="L94" i="3" s="1"/>
  <c r="K66" i="3"/>
  <c r="H95" i="1"/>
  <c r="I95" i="1" s="1"/>
  <c r="M94" i="1" s="1"/>
  <c r="S101" i="1" s="1"/>
  <c r="S102" i="1" s="1"/>
  <c r="S103" i="1" s="1"/>
  <c r="S104" i="1" s="1"/>
  <c r="S105" i="1" s="1"/>
  <c r="S106" i="1" s="1"/>
  <c r="S107" i="1" s="1"/>
  <c r="S108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R101" i="1"/>
  <c r="R102" i="1" s="1"/>
  <c r="R103" i="1" s="1"/>
  <c r="R104" i="1" s="1"/>
  <c r="R105" i="1" s="1"/>
  <c r="R106" i="1" s="1"/>
  <c r="R107" i="1" s="1"/>
  <c r="R108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H91" i="1"/>
  <c r="I15" i="1" s="1"/>
  <c r="H15" i="1" s="1"/>
  <c r="R7" i="3"/>
  <c r="G108" i="1"/>
  <c r="AP13" i="3"/>
  <c r="K46" i="3"/>
  <c r="A7" i="3"/>
  <c r="J104" i="3"/>
  <c r="K99" i="3"/>
  <c r="L99" i="3" s="1"/>
  <c r="K108" i="3"/>
  <c r="L108" i="3" s="1"/>
  <c r="K52" i="3"/>
  <c r="K32" i="3"/>
  <c r="K89" i="3"/>
  <c r="L89" i="3" s="1"/>
  <c r="K60" i="3"/>
  <c r="K36" i="3"/>
  <c r="J101" i="3"/>
  <c r="K59" i="3"/>
  <c r="K13" i="3"/>
  <c r="K35" i="3"/>
  <c r="K55" i="3"/>
  <c r="K23" i="3"/>
  <c r="K34" i="3"/>
  <c r="K104" i="3"/>
  <c r="L104" i="3" s="1"/>
  <c r="K47" i="3"/>
  <c r="K11" i="3"/>
  <c r="U9" i="3"/>
  <c r="X99" i="1" s="1"/>
  <c r="T89" i="1"/>
  <c r="N117" i="3" l="1"/>
  <c r="N111" i="3"/>
  <c r="W92" i="1"/>
  <c r="N116" i="3"/>
  <c r="E14" i="3"/>
  <c r="F13" i="3"/>
  <c r="S6" i="3"/>
  <c r="T9" i="3" s="1"/>
  <c r="N119" i="3"/>
  <c r="H99" i="1"/>
  <c r="N113" i="3"/>
  <c r="N114" i="3"/>
  <c r="N122" i="3"/>
  <c r="N112" i="3"/>
  <c r="N118" i="3"/>
  <c r="N120" i="3"/>
  <c r="S111" i="3"/>
  <c r="T110" i="3" s="1"/>
  <c r="Y110" i="3" s="1"/>
  <c r="L94" i="1"/>
  <c r="R6" i="3" s="1"/>
  <c r="S10" i="3"/>
  <c r="U11" i="3" s="1"/>
  <c r="S15" i="3"/>
  <c r="W17" i="3"/>
  <c r="S14" i="3"/>
  <c r="S113" i="3"/>
  <c r="S116" i="3"/>
  <c r="S120" i="3"/>
  <c r="W12" i="3"/>
  <c r="S114" i="3"/>
  <c r="S16" i="3"/>
  <c r="X16" i="3" s="1"/>
  <c r="W11" i="3"/>
  <c r="W14" i="3"/>
  <c r="S115" i="3"/>
  <c r="H36" i="1"/>
  <c r="G12" i="1"/>
  <c r="S122" i="3"/>
  <c r="S121" i="3"/>
  <c r="S13" i="3"/>
  <c r="T12" i="3" s="1"/>
  <c r="Y12" i="3" s="1"/>
  <c r="S119" i="3"/>
  <c r="W16" i="3"/>
  <c r="A6" i="3"/>
  <c r="S117" i="3"/>
  <c r="W13" i="3"/>
  <c r="W15" i="3"/>
  <c r="S17" i="3"/>
  <c r="S11" i="3"/>
  <c r="S12" i="3"/>
  <c r="S118" i="3"/>
  <c r="S112" i="3"/>
  <c r="V91" i="1"/>
  <c r="Y9" i="3" l="1"/>
  <c r="AB9" i="3" s="1"/>
  <c r="E15" i="3"/>
  <c r="F14" i="3"/>
  <c r="L101" i="1"/>
  <c r="Q101" i="1" s="1"/>
  <c r="Q102" i="1" s="1"/>
  <c r="H94" i="1"/>
  <c r="X10" i="3"/>
  <c r="T15" i="3"/>
  <c r="Y15" i="3" s="1"/>
  <c r="T13" i="3"/>
  <c r="Y13" i="3" s="1"/>
  <c r="X14" i="3"/>
  <c r="T14" i="3"/>
  <c r="Y14" i="3" s="1"/>
  <c r="X15" i="3"/>
  <c r="X13" i="3"/>
  <c r="T10" i="3"/>
  <c r="Y10" i="3" s="1"/>
  <c r="X11" i="3"/>
  <c r="T11" i="3"/>
  <c r="Y11" i="3" s="1"/>
  <c r="X12" i="3"/>
  <c r="X17" i="3"/>
  <c r="T16" i="3"/>
  <c r="Y16" i="3" s="1"/>
  <c r="U12" i="3"/>
  <c r="U13" i="3" s="1"/>
  <c r="U14" i="3" s="1"/>
  <c r="U15" i="3" s="1"/>
  <c r="U16" i="3" s="1"/>
  <c r="U17" i="3" s="1"/>
  <c r="U18" i="3" s="1"/>
  <c r="F15" i="3" l="1"/>
  <c r="E16" i="3"/>
  <c r="V19" i="3"/>
  <c r="V12" i="3"/>
  <c r="V15" i="3"/>
  <c r="V14" i="3"/>
  <c r="V31" i="3"/>
  <c r="V20" i="3"/>
  <c r="V22" i="3"/>
  <c r="V28" i="3"/>
  <c r="V30" i="3"/>
  <c r="V13" i="3"/>
  <c r="V21" i="3"/>
  <c r="V26" i="3"/>
  <c r="V25" i="3"/>
  <c r="V32" i="3"/>
  <c r="V17" i="3"/>
  <c r="V24" i="3"/>
  <c r="V23" i="3"/>
  <c r="V29" i="3"/>
  <c r="V18" i="3"/>
  <c r="W18" i="3" s="1"/>
  <c r="V27" i="3"/>
  <c r="V16" i="3"/>
  <c r="V11" i="3"/>
  <c r="Q103" i="1"/>
  <c r="E17" i="3" l="1"/>
  <c r="F16" i="3"/>
  <c r="S24" i="3"/>
  <c r="T23" i="3" s="1"/>
  <c r="Y23" i="3" s="1"/>
  <c r="S23" i="3"/>
  <c r="X23" i="3" s="1"/>
  <c r="X24" i="3"/>
  <c r="Q104" i="1"/>
  <c r="E18" i="3" l="1"/>
  <c r="F17" i="3"/>
  <c r="T22" i="3"/>
  <c r="Y22" i="3" s="1"/>
  <c r="W19" i="3"/>
  <c r="Q105" i="1"/>
  <c r="F18" i="3" l="1"/>
  <c r="E19" i="3"/>
  <c r="W20" i="3"/>
  <c r="Q106" i="1"/>
  <c r="E20" i="3" l="1"/>
  <c r="F19" i="3"/>
  <c r="W21" i="3"/>
  <c r="Q107" i="1"/>
  <c r="F20" i="3" l="1"/>
  <c r="E21" i="3"/>
  <c r="W22" i="3"/>
  <c r="Q108" i="1"/>
  <c r="E22" i="3" l="1"/>
  <c r="F21" i="3"/>
  <c r="W23" i="3"/>
  <c r="Q112" i="1"/>
  <c r="F22" i="3" l="1"/>
  <c r="E23" i="3"/>
  <c r="W24" i="3"/>
  <c r="Q113" i="1"/>
  <c r="F23" i="3" l="1"/>
  <c r="E24" i="3"/>
  <c r="Q114" i="1"/>
  <c r="F24" i="3" l="1"/>
  <c r="E25" i="3"/>
  <c r="Q115" i="1"/>
  <c r="F25" i="3" l="1"/>
  <c r="E26" i="3"/>
  <c r="Q116" i="1"/>
  <c r="E27" i="3" l="1"/>
  <c r="F26" i="3"/>
  <c r="Q117" i="1"/>
  <c r="E28" i="3" l="1"/>
  <c r="F27" i="3"/>
  <c r="Q118" i="1"/>
  <c r="E29" i="3" l="1"/>
  <c r="F28" i="3"/>
  <c r="Q119" i="1"/>
  <c r="E30" i="3" l="1"/>
  <c r="F29" i="3"/>
  <c r="Q120" i="1"/>
  <c r="E31" i="3" l="1"/>
  <c r="F30" i="3"/>
  <c r="Q121" i="1"/>
  <c r="E32" i="3" l="1"/>
  <c r="F31" i="3"/>
  <c r="Q122" i="1"/>
  <c r="F32" i="3" l="1"/>
  <c r="E33" i="3"/>
  <c r="Q123" i="1"/>
  <c r="E34" i="3" l="1"/>
  <c r="F33" i="3"/>
  <c r="Q124" i="1"/>
  <c r="F34" i="3" l="1"/>
  <c r="E35" i="3"/>
  <c r="Q125" i="1"/>
  <c r="E36" i="3" l="1"/>
  <c r="F35" i="3"/>
  <c r="Q126" i="1"/>
  <c r="F36" i="3" l="1"/>
  <c r="E37" i="3"/>
  <c r="V37" i="3"/>
  <c r="Q127" i="1"/>
  <c r="F37" i="3" l="1"/>
  <c r="E38" i="3"/>
  <c r="V38" i="3"/>
  <c r="V39" i="3"/>
  <c r="V34" i="3"/>
  <c r="V33" i="3"/>
  <c r="V36" i="3"/>
  <c r="V35" i="3"/>
  <c r="Q128" i="1"/>
  <c r="E39" i="3" l="1"/>
  <c r="F38" i="3"/>
  <c r="Q129" i="1"/>
  <c r="E40" i="3" l="1"/>
  <c r="F39" i="3"/>
  <c r="Q130" i="1"/>
  <c r="E41" i="3" l="1"/>
  <c r="F40" i="3"/>
  <c r="Q131" i="1"/>
  <c r="E42" i="3" l="1"/>
  <c r="F41" i="3"/>
  <c r="Q132" i="1"/>
  <c r="E43" i="3" l="1"/>
  <c r="F42" i="3"/>
  <c r="Q133" i="1"/>
  <c r="E44" i="3" l="1"/>
  <c r="F43" i="3"/>
  <c r="Q134" i="1"/>
  <c r="F44" i="3" l="1"/>
  <c r="E45" i="3"/>
  <c r="Q135" i="1"/>
  <c r="F45" i="3" l="1"/>
  <c r="E46" i="3"/>
  <c r="Q136" i="1"/>
  <c r="F46" i="3" l="1"/>
  <c r="E47" i="3"/>
  <c r="Q137" i="1"/>
  <c r="E48" i="3" l="1"/>
  <c r="F47" i="3"/>
  <c r="Q138" i="1"/>
  <c r="AD45" i="3" l="1"/>
  <c r="F48" i="3"/>
  <c r="E49" i="3"/>
  <c r="Q139" i="1"/>
  <c r="E50" i="3" l="1"/>
  <c r="F49" i="3"/>
  <c r="Q140" i="1"/>
  <c r="F50" i="3" l="1"/>
  <c r="E51" i="3"/>
  <c r="Q141" i="1"/>
  <c r="E52" i="3" l="1"/>
  <c r="F51" i="3"/>
  <c r="Q142" i="1"/>
  <c r="E53" i="3" l="1"/>
  <c r="F52" i="3"/>
  <c r="Q143" i="1"/>
  <c r="E54" i="3" l="1"/>
  <c r="F53" i="3"/>
  <c r="Q144" i="1"/>
  <c r="F54" i="3" l="1"/>
  <c r="E55" i="3"/>
  <c r="Q145" i="1"/>
  <c r="E56" i="3" l="1"/>
  <c r="F55" i="3"/>
  <c r="Q146" i="1"/>
  <c r="E57" i="3" l="1"/>
  <c r="F56" i="3"/>
  <c r="Q147" i="1"/>
  <c r="F57" i="3" l="1"/>
  <c r="E58" i="3"/>
  <c r="Q148" i="1"/>
  <c r="E59" i="3" l="1"/>
  <c r="F58" i="3"/>
  <c r="Q149" i="1"/>
  <c r="F6" i="3" l="1"/>
  <c r="E60" i="3"/>
  <c r="F59" i="3"/>
  <c r="Q150" i="1"/>
  <c r="E61" i="3" l="1"/>
  <c r="F60" i="3"/>
  <c r="T150" i="1"/>
  <c r="Q151" i="1"/>
  <c r="E62" i="3" l="1"/>
  <c r="F61" i="3"/>
  <c r="X151" i="1"/>
  <c r="Q152" i="1"/>
  <c r="T151" i="1"/>
  <c r="E63" i="3" l="1"/>
  <c r="F62" i="3"/>
  <c r="T152" i="1"/>
  <c r="X152" i="1"/>
  <c r="Q153" i="1"/>
  <c r="F63" i="3" l="1"/>
  <c r="E64" i="3"/>
  <c r="T153" i="1"/>
  <c r="Q154" i="1"/>
  <c r="X153" i="1"/>
  <c r="E65" i="3" l="1"/>
  <c r="F64" i="3"/>
  <c r="X154" i="1"/>
  <c r="T154" i="1"/>
  <c r="F65" i="3" l="1"/>
  <c r="E66" i="3"/>
  <c r="F66" i="3" l="1"/>
  <c r="E67" i="3"/>
  <c r="F67" i="3" l="1"/>
  <c r="E68" i="3"/>
  <c r="F68" i="3" l="1"/>
  <c r="E69" i="3"/>
  <c r="F69" i="3" l="1"/>
  <c r="E70" i="3"/>
  <c r="F70" i="3" l="1"/>
  <c r="E71" i="3"/>
  <c r="F71" i="3" l="1"/>
  <c r="E72" i="3"/>
  <c r="F72" i="3" l="1"/>
  <c r="E73" i="3"/>
  <c r="E74" i="3" l="1"/>
  <c r="F73" i="3"/>
  <c r="F74" i="3" l="1"/>
  <c r="E75" i="3"/>
  <c r="F75" i="3" l="1"/>
  <c r="E76" i="3"/>
  <c r="F76" i="3" l="1"/>
  <c r="E77" i="3"/>
  <c r="F77" i="3" l="1"/>
  <c r="E78" i="3"/>
  <c r="F78" i="3" l="1"/>
  <c r="E79" i="3"/>
  <c r="F79" i="3" l="1"/>
  <c r="E80" i="3"/>
  <c r="E81" i="3" l="1"/>
  <c r="F80" i="3"/>
  <c r="E82" i="3" l="1"/>
  <c r="F81" i="3"/>
  <c r="E83" i="3" l="1"/>
  <c r="F82" i="3"/>
  <c r="F83" i="3" l="1"/>
  <c r="E84" i="3"/>
  <c r="F84" i="3" l="1"/>
  <c r="E85" i="3"/>
  <c r="F85" i="3" l="1"/>
  <c r="E86" i="3"/>
  <c r="F86" i="3" l="1"/>
  <c r="E87" i="3"/>
  <c r="F7" i="3"/>
  <c r="E88" i="3" l="1"/>
  <c r="F87" i="3"/>
  <c r="E89" i="3" l="1"/>
  <c r="F88" i="3"/>
  <c r="F89" i="3" l="1"/>
  <c r="E90" i="3"/>
  <c r="F90" i="3" l="1"/>
  <c r="E91" i="3"/>
  <c r="F91" i="3" l="1"/>
  <c r="E92" i="3"/>
  <c r="F92" i="3" l="1"/>
  <c r="E93" i="3"/>
  <c r="E94" i="3" l="1"/>
  <c r="F93" i="3"/>
  <c r="F94" i="3" l="1"/>
  <c r="E95" i="3"/>
  <c r="F95" i="3" l="1"/>
  <c r="E96" i="3"/>
  <c r="F96" i="3" l="1"/>
  <c r="E97" i="3"/>
  <c r="E98" i="3" l="1"/>
  <c r="F97" i="3"/>
  <c r="F98" i="3" l="1"/>
  <c r="E99" i="3"/>
  <c r="F99" i="3" l="1"/>
  <c r="E100" i="3"/>
  <c r="F100" i="3" l="1"/>
  <c r="E101" i="3"/>
  <c r="E102" i="3" l="1"/>
  <c r="F101" i="3"/>
  <c r="F102" i="3" l="1"/>
  <c r="E103" i="3"/>
  <c r="F103" i="3" l="1"/>
  <c r="E104" i="3"/>
  <c r="E105" i="3" l="1"/>
  <c r="F104" i="3"/>
  <c r="E106" i="3" l="1"/>
  <c r="F105" i="3"/>
  <c r="F106" i="3" l="1"/>
  <c r="E107" i="3"/>
  <c r="E108" i="3" l="1"/>
  <c r="F107" i="3"/>
  <c r="E109" i="3" l="1"/>
  <c r="F108" i="3"/>
  <c r="E110" i="3" l="1"/>
  <c r="F109" i="3"/>
  <c r="F110" i="3" l="1"/>
  <c r="E111" i="3"/>
  <c r="E112" i="3" l="1"/>
  <c r="F111" i="3"/>
  <c r="F112" i="3" l="1"/>
  <c r="E113" i="3"/>
  <c r="F113" i="3" l="1"/>
  <c r="E114" i="3"/>
  <c r="E115" i="3" l="1"/>
  <c r="F114" i="3"/>
  <c r="E116" i="3" l="1"/>
  <c r="F115" i="3"/>
  <c r="E117" i="3" l="1"/>
  <c r="F116" i="3"/>
  <c r="E118" i="3" l="1"/>
  <c r="F117" i="3"/>
  <c r="F118" i="3" l="1"/>
  <c r="E119" i="3"/>
  <c r="E120" i="3" l="1"/>
  <c r="F119" i="3"/>
  <c r="F120" i="3" l="1"/>
  <c r="E121" i="3"/>
  <c r="F121" i="3" l="1"/>
  <c r="E122" i="3"/>
  <c r="E123" i="3" s="1"/>
  <c r="E124" i="3" s="1"/>
  <c r="E125" i="3" s="1"/>
  <c r="E126" i="3" s="1"/>
  <c r="E127" i="3" s="1"/>
  <c r="E128" i="3" s="1"/>
  <c r="E129" i="3" s="1"/>
  <c r="E130" i="3" s="1"/>
  <c r="E131" i="3" s="1"/>
  <c r="G121" i="3" l="1"/>
  <c r="G120" i="3" l="1"/>
  <c r="N121" i="3"/>
  <c r="G119" i="3" l="1"/>
  <c r="G118" i="3" l="1"/>
  <c r="G117" i="3" l="1"/>
  <c r="G116" i="3" l="1"/>
  <c r="G115" i="3" l="1"/>
  <c r="G114" i="3" l="1"/>
  <c r="G113" i="3" l="1"/>
  <c r="G112" i="3" l="1"/>
  <c r="G111" i="3" l="1"/>
  <c r="G110" i="3" l="1"/>
  <c r="Z110" i="3"/>
  <c r="G109" i="3" l="1"/>
  <c r="Z109" i="3"/>
  <c r="N110" i="3"/>
  <c r="G108" i="3" l="1"/>
  <c r="Z108" i="3"/>
  <c r="N109" i="3"/>
  <c r="G107" i="3" l="1"/>
  <c r="Z107" i="3"/>
  <c r="N108" i="3"/>
  <c r="G106" i="3" l="1"/>
  <c r="Z106" i="3"/>
  <c r="N107" i="3"/>
  <c r="G105" i="3" l="1"/>
  <c r="Z105" i="3"/>
  <c r="N106" i="3"/>
  <c r="G104" i="3" l="1"/>
  <c r="Z104" i="3"/>
  <c r="N105" i="3"/>
  <c r="G103" i="3" l="1"/>
  <c r="Z103" i="3"/>
  <c r="N104" i="3"/>
  <c r="G102" i="3" l="1"/>
  <c r="Z102" i="3"/>
  <c r="N103" i="3"/>
  <c r="G101" i="3" l="1"/>
  <c r="Z101" i="3"/>
  <c r="N102" i="3"/>
  <c r="G100" i="3" l="1"/>
  <c r="Z100" i="3"/>
  <c r="N101" i="3"/>
  <c r="G99" i="3" l="1"/>
  <c r="Z99" i="3"/>
  <c r="N100" i="3"/>
  <c r="G98" i="3" l="1"/>
  <c r="Z98" i="3"/>
  <c r="N99" i="3"/>
  <c r="G97" i="3" l="1"/>
  <c r="Z97" i="3"/>
  <c r="N98" i="3"/>
  <c r="N97" i="3"/>
  <c r="G96" i="3" l="1"/>
  <c r="Z96" i="3"/>
  <c r="N96" i="3"/>
  <c r="G95" i="3" l="1"/>
  <c r="N95" i="3"/>
  <c r="Z95" i="3"/>
  <c r="G94" i="3" l="1"/>
  <c r="Z94" i="3"/>
  <c r="N94" i="3"/>
  <c r="G93" i="3" l="1"/>
  <c r="Z93" i="3"/>
  <c r="N93" i="3"/>
  <c r="G92" i="3" l="1"/>
  <c r="Z92" i="3"/>
  <c r="N92" i="3"/>
  <c r="G91" i="3" l="1"/>
  <c r="Z91" i="3"/>
  <c r="N91" i="3"/>
  <c r="G90" i="3" l="1"/>
  <c r="Z90" i="3"/>
  <c r="N90" i="3"/>
  <c r="G89" i="3" l="1"/>
  <c r="Z89" i="3"/>
  <c r="N89" i="3"/>
  <c r="G88" i="3" l="1"/>
  <c r="Z88" i="3"/>
  <c r="N88" i="3"/>
  <c r="G87" i="3" l="1"/>
  <c r="Z87" i="3"/>
  <c r="N87" i="3"/>
  <c r="G86" i="3" l="1"/>
  <c r="Z86" i="3"/>
  <c r="N86" i="3"/>
  <c r="G85" i="3" l="1"/>
  <c r="Z85" i="3"/>
  <c r="N85" i="3"/>
  <c r="G84" i="3" l="1"/>
  <c r="G7" i="3"/>
  <c r="J85" i="3"/>
  <c r="Z84" i="3"/>
  <c r="N84" i="3"/>
  <c r="AK56" i="3" l="1"/>
  <c r="AY56" i="3" s="1"/>
  <c r="AK58" i="3"/>
  <c r="AK66" i="3"/>
  <c r="AK55" i="3"/>
  <c r="AK52" i="3"/>
  <c r="AK70" i="3"/>
  <c r="AK68" i="3"/>
  <c r="AY68" i="3" s="1"/>
  <c r="AK53" i="3"/>
  <c r="AK69" i="3"/>
  <c r="AK64" i="3"/>
  <c r="AK46" i="3"/>
  <c r="AK50" i="3"/>
  <c r="AY50" i="3" s="1"/>
  <c r="AK48" i="3"/>
  <c r="AK59" i="3"/>
  <c r="AY59" i="3" s="1"/>
  <c r="AK62" i="3"/>
  <c r="AY62" i="3" s="1"/>
  <c r="AK61" i="3"/>
  <c r="AF45" i="3"/>
  <c r="AK45" i="3"/>
  <c r="AK57" i="3"/>
  <c r="AK60" i="3"/>
  <c r="AK54" i="3"/>
  <c r="AK49" i="3"/>
  <c r="AK65" i="3"/>
  <c r="AK51" i="3"/>
  <c r="AK63" i="3"/>
  <c r="AY63" i="3" s="1"/>
  <c r="AK47" i="3"/>
  <c r="AK67" i="3"/>
  <c r="G83" i="3"/>
  <c r="Z83" i="3"/>
  <c r="J84" i="3"/>
  <c r="AY46" i="3" l="1"/>
  <c r="AY64" i="3"/>
  <c r="AY54" i="3"/>
  <c r="AY60" i="3"/>
  <c r="AY70" i="3"/>
  <c r="AY52" i="3"/>
  <c r="AY65" i="3"/>
  <c r="AY61" i="3"/>
  <c r="AY55" i="3"/>
  <c r="AY67" i="3"/>
  <c r="AY66" i="3"/>
  <c r="G82" i="3"/>
  <c r="Z82" i="3"/>
  <c r="J83" i="3"/>
  <c r="AY47" i="3"/>
  <c r="AY58" i="3"/>
  <c r="AY49" i="3"/>
  <c r="AY69" i="3"/>
  <c r="AY53" i="3"/>
  <c r="AY57" i="3"/>
  <c r="AY45" i="3"/>
  <c r="N83" i="3"/>
  <c r="AY48" i="3"/>
  <c r="AY51" i="3"/>
  <c r="G81" i="3" l="1"/>
  <c r="J82" i="3"/>
  <c r="Z81" i="3"/>
  <c r="N81" i="3"/>
  <c r="N82" i="3"/>
  <c r="G80" i="3" l="1"/>
  <c r="J81" i="3"/>
  <c r="Z80" i="3"/>
  <c r="N80" i="3"/>
  <c r="G79" i="3" l="1"/>
  <c r="Z79" i="3"/>
  <c r="J80" i="3"/>
  <c r="N79" i="3"/>
  <c r="G78" i="3" l="1"/>
  <c r="J79" i="3"/>
  <c r="Z78" i="3"/>
  <c r="N78" i="3"/>
  <c r="G77" i="3" l="1"/>
  <c r="Z77" i="3"/>
  <c r="N77" i="3"/>
  <c r="J78" i="3"/>
  <c r="G76" i="3" l="1"/>
  <c r="Z76" i="3"/>
  <c r="J77" i="3"/>
  <c r="N76" i="3"/>
  <c r="G75" i="3" l="1"/>
  <c r="Z75" i="3"/>
  <c r="N75" i="3"/>
  <c r="J76" i="3"/>
  <c r="G74" i="3" l="1"/>
  <c r="Z74" i="3"/>
  <c r="N74" i="3"/>
  <c r="J75" i="3"/>
  <c r="G73" i="3" l="1"/>
  <c r="Z73" i="3"/>
  <c r="J74" i="3"/>
  <c r="N73" i="3"/>
  <c r="G72" i="3" l="1"/>
  <c r="Z72" i="3"/>
  <c r="J73" i="3"/>
  <c r="N72" i="3"/>
  <c r="G71" i="3" l="1"/>
  <c r="Z71" i="3"/>
  <c r="N71" i="3"/>
  <c r="J72" i="3"/>
  <c r="G70" i="3" l="1"/>
  <c r="Z70" i="3"/>
  <c r="N70" i="3"/>
  <c r="J71" i="3"/>
  <c r="G69" i="3" l="1"/>
  <c r="Z69" i="3"/>
  <c r="AJ70" i="3"/>
  <c r="J70" i="3"/>
  <c r="N69" i="3"/>
  <c r="AO70" i="3"/>
  <c r="AU70" i="3" l="1"/>
  <c r="AV70" i="3"/>
  <c r="AW70" i="3" s="1"/>
  <c r="G68" i="3"/>
  <c r="AJ69" i="3"/>
  <c r="Z68" i="3"/>
  <c r="AO69" i="3"/>
  <c r="N68" i="3"/>
  <c r="J69" i="3"/>
  <c r="AV69" i="3" l="1"/>
  <c r="AU69" i="3"/>
  <c r="AW69" i="3" s="1"/>
  <c r="G67" i="3"/>
  <c r="AJ68" i="3"/>
  <c r="Z67" i="3"/>
  <c r="J68" i="3"/>
  <c r="N67" i="3"/>
  <c r="AO68" i="3"/>
  <c r="AU68" i="3" l="1"/>
  <c r="AV68" i="3"/>
  <c r="G66" i="3"/>
  <c r="J67" i="3"/>
  <c r="Z66" i="3"/>
  <c r="AJ67" i="3"/>
  <c r="N66" i="3"/>
  <c r="AO67" i="3"/>
  <c r="AV67" i="3" l="1"/>
  <c r="AU67" i="3"/>
  <c r="AW67" i="3" s="1"/>
  <c r="G65" i="3"/>
  <c r="AJ66" i="3"/>
  <c r="Z65" i="3"/>
  <c r="J66" i="3"/>
  <c r="AO66" i="3"/>
  <c r="AW68" i="3"/>
  <c r="AU66" i="3" l="1"/>
  <c r="AV66" i="3"/>
  <c r="G64" i="3"/>
  <c r="Z64" i="3"/>
  <c r="AJ65" i="3"/>
  <c r="AO65" i="3"/>
  <c r="H7" i="3"/>
  <c r="J65" i="3"/>
  <c r="AL65" i="3" l="1"/>
  <c r="AR65" i="3" s="1"/>
  <c r="AL68" i="3"/>
  <c r="AR68" i="3" s="1"/>
  <c r="AL67" i="3"/>
  <c r="AR67" i="3" s="1"/>
  <c r="AL64" i="3"/>
  <c r="AL69" i="3"/>
  <c r="AR69" i="3" s="1"/>
  <c r="AL66" i="3"/>
  <c r="AR66" i="3" s="1"/>
  <c r="AL70" i="3"/>
  <c r="AR70" i="3" s="1"/>
  <c r="H84" i="3"/>
  <c r="I82" i="3"/>
  <c r="M82" i="3" s="1"/>
  <c r="H119" i="3"/>
  <c r="H113" i="3"/>
  <c r="H107" i="3"/>
  <c r="H101" i="3"/>
  <c r="H95" i="3"/>
  <c r="H89" i="3"/>
  <c r="H83" i="3"/>
  <c r="I117" i="3"/>
  <c r="M117" i="3" s="1"/>
  <c r="I111" i="3"/>
  <c r="M111" i="3" s="1"/>
  <c r="I105" i="3"/>
  <c r="M105" i="3" s="1"/>
  <c r="I99" i="3"/>
  <c r="M99" i="3" s="1"/>
  <c r="I87" i="3"/>
  <c r="M87" i="3" s="1"/>
  <c r="H106" i="3"/>
  <c r="H100" i="3"/>
  <c r="H88" i="3"/>
  <c r="I110" i="3"/>
  <c r="M110" i="3" s="1"/>
  <c r="I98" i="3"/>
  <c r="M98" i="3" s="1"/>
  <c r="I86" i="3"/>
  <c r="M86" i="3" s="1"/>
  <c r="H111" i="3"/>
  <c r="H87" i="3"/>
  <c r="I108" i="3"/>
  <c r="M108" i="3" s="1"/>
  <c r="H115" i="3"/>
  <c r="I113" i="3"/>
  <c r="M113" i="3" s="1"/>
  <c r="I83" i="3"/>
  <c r="M83" i="3" s="1"/>
  <c r="H108" i="3"/>
  <c r="H90" i="3"/>
  <c r="I112" i="3"/>
  <c r="M112" i="3" s="1"/>
  <c r="I88" i="3"/>
  <c r="M88" i="3" s="1"/>
  <c r="I93" i="3"/>
  <c r="M93" i="3" s="1"/>
  <c r="I81" i="3"/>
  <c r="M81" i="3" s="1"/>
  <c r="H99" i="3"/>
  <c r="H98" i="3"/>
  <c r="I96" i="3"/>
  <c r="M96" i="3" s="1"/>
  <c r="I119" i="3"/>
  <c r="M119" i="3" s="1"/>
  <c r="I107" i="3"/>
  <c r="M107" i="3" s="1"/>
  <c r="I100" i="3"/>
  <c r="M100" i="3" s="1"/>
  <c r="H118" i="3"/>
  <c r="H112" i="3"/>
  <c r="H94" i="3"/>
  <c r="I92" i="3"/>
  <c r="M92" i="3" s="1"/>
  <c r="H93" i="3"/>
  <c r="H86" i="3"/>
  <c r="I114" i="3"/>
  <c r="M114" i="3" s="1"/>
  <c r="H97" i="3"/>
  <c r="I95" i="3"/>
  <c r="M95" i="3" s="1"/>
  <c r="H120" i="3"/>
  <c r="I94" i="3"/>
  <c r="M94" i="3" s="1"/>
  <c r="I116" i="3"/>
  <c r="M116" i="3" s="1"/>
  <c r="I104" i="3"/>
  <c r="M104" i="3" s="1"/>
  <c r="H105" i="3"/>
  <c r="H92" i="3"/>
  <c r="I84" i="3"/>
  <c r="M84" i="3" s="1"/>
  <c r="H91" i="3"/>
  <c r="I120" i="3"/>
  <c r="M120" i="3" s="1"/>
  <c r="H102" i="3"/>
  <c r="I118" i="3"/>
  <c r="M118" i="3" s="1"/>
  <c r="I121" i="3"/>
  <c r="M121" i="3" s="1"/>
  <c r="H117" i="3"/>
  <c r="H110" i="3"/>
  <c r="I90" i="3"/>
  <c r="M90" i="3" s="1"/>
  <c r="H103" i="3"/>
  <c r="I89" i="3"/>
  <c r="M89" i="3" s="1"/>
  <c r="H114" i="3"/>
  <c r="H121" i="3"/>
  <c r="I115" i="3"/>
  <c r="M115" i="3" s="1"/>
  <c r="I109" i="3"/>
  <c r="M109" i="3" s="1"/>
  <c r="I103" i="3"/>
  <c r="M103" i="3" s="1"/>
  <c r="I97" i="3"/>
  <c r="M97" i="3" s="1"/>
  <c r="I91" i="3"/>
  <c r="M91" i="3" s="1"/>
  <c r="I85" i="3"/>
  <c r="M85" i="3" s="1"/>
  <c r="H116" i="3"/>
  <c r="H104" i="3"/>
  <c r="I102" i="3"/>
  <c r="M102" i="3" s="1"/>
  <c r="H109" i="3"/>
  <c r="H85" i="3"/>
  <c r="I101" i="3"/>
  <c r="M101" i="3" s="1"/>
  <c r="H96" i="3"/>
  <c r="I106" i="3"/>
  <c r="M106" i="3" s="1"/>
  <c r="H82" i="3"/>
  <c r="I80" i="3"/>
  <c r="M80" i="3" s="1"/>
  <c r="H81" i="3"/>
  <c r="I79" i="3"/>
  <c r="M79" i="3" s="1"/>
  <c r="H80" i="3"/>
  <c r="I78" i="3"/>
  <c r="M78" i="3" s="1"/>
  <c r="H79" i="3"/>
  <c r="I77" i="3"/>
  <c r="M77" i="3" s="1"/>
  <c r="H78" i="3"/>
  <c r="I76" i="3"/>
  <c r="M76" i="3" s="1"/>
  <c r="H77" i="3"/>
  <c r="I75" i="3"/>
  <c r="M75" i="3" s="1"/>
  <c r="H76" i="3"/>
  <c r="I74" i="3"/>
  <c r="M74" i="3" s="1"/>
  <c r="H75" i="3"/>
  <c r="I73" i="3"/>
  <c r="M73" i="3" s="1"/>
  <c r="H74" i="3"/>
  <c r="I72" i="3"/>
  <c r="M72" i="3" s="1"/>
  <c r="H73" i="3"/>
  <c r="I71" i="3"/>
  <c r="M71" i="3" s="1"/>
  <c r="H72" i="3"/>
  <c r="I70" i="3"/>
  <c r="M70" i="3" s="1"/>
  <c r="H71" i="3"/>
  <c r="I69" i="3"/>
  <c r="M69" i="3" s="1"/>
  <c r="H70" i="3"/>
  <c r="L70" i="3" s="1"/>
  <c r="I68" i="3"/>
  <c r="M68" i="3" s="1"/>
  <c r="H69" i="3"/>
  <c r="L69" i="3" s="1"/>
  <c r="I67" i="3"/>
  <c r="M67" i="3" s="1"/>
  <c r="I66" i="3"/>
  <c r="M66" i="3" s="1"/>
  <c r="H68" i="3"/>
  <c r="L68" i="3" s="1"/>
  <c r="I65" i="3"/>
  <c r="M65" i="3" s="1"/>
  <c r="H67" i="3"/>
  <c r="L67" i="3" s="1"/>
  <c r="H66" i="3"/>
  <c r="L66" i="3" s="1"/>
  <c r="I64" i="3"/>
  <c r="H65" i="3"/>
  <c r="L65" i="3" s="1"/>
  <c r="N65" i="3"/>
  <c r="H64" i="3"/>
  <c r="AU65" i="3"/>
  <c r="AV65" i="3"/>
  <c r="AW65" i="3" s="1"/>
  <c r="G63" i="3"/>
  <c r="AL63" i="3" s="1"/>
  <c r="Z63" i="3"/>
  <c r="AJ64" i="3"/>
  <c r="H63" i="3"/>
  <c r="N63" i="3"/>
  <c r="AO64" i="3"/>
  <c r="J64" i="3"/>
  <c r="N64" i="3"/>
  <c r="AW66" i="3"/>
  <c r="AU64" i="3" l="1"/>
  <c r="AV64" i="3"/>
  <c r="M64" i="3"/>
  <c r="L64" i="3"/>
  <c r="G62" i="3"/>
  <c r="AJ63" i="3"/>
  <c r="AR63" i="3" s="1"/>
  <c r="J63" i="3"/>
  <c r="L63" i="3" s="1"/>
  <c r="AO63" i="3"/>
  <c r="AR64" i="3"/>
  <c r="I63" i="3"/>
  <c r="M63" i="3" s="1"/>
  <c r="G61" i="3" l="1"/>
  <c r="Z61" i="3"/>
  <c r="AJ62" i="3"/>
  <c r="J62" i="3"/>
  <c r="H61" i="3"/>
  <c r="N61" i="3"/>
  <c r="AO62" i="3"/>
  <c r="I62" i="3"/>
  <c r="M62" i="3" s="1"/>
  <c r="AL62" i="3"/>
  <c r="AR62" i="3" s="1"/>
  <c r="N62" i="3"/>
  <c r="AW64" i="3"/>
  <c r="AV63" i="3"/>
  <c r="AU63" i="3"/>
  <c r="AW63" i="3" s="1"/>
  <c r="H62" i="3"/>
  <c r="Z62" i="3"/>
  <c r="AV62" i="3" l="1"/>
  <c r="AU62" i="3"/>
  <c r="AW62" i="3" s="1"/>
  <c r="L62" i="3"/>
  <c r="G60" i="3"/>
  <c r="N60" i="3" s="1"/>
  <c r="Z60" i="3"/>
  <c r="AJ61" i="3"/>
  <c r="AO61" i="3"/>
  <c r="H60" i="3"/>
  <c r="J61" i="3"/>
  <c r="L61" i="3" s="1"/>
  <c r="I61" i="3"/>
  <c r="M61" i="3" s="1"/>
  <c r="AL61" i="3"/>
  <c r="AV61" i="3" l="1"/>
  <c r="AU61" i="3"/>
  <c r="AW61" i="3" s="1"/>
  <c r="AR61" i="3"/>
  <c r="G59" i="3"/>
  <c r="AJ60" i="3"/>
  <c r="Z59" i="3"/>
  <c r="J60" i="3"/>
  <c r="H59" i="3"/>
  <c r="N59" i="3"/>
  <c r="AO60" i="3"/>
  <c r="AL60" i="3"/>
  <c r="I60" i="3"/>
  <c r="M60" i="3" s="1"/>
  <c r="AU60" i="3" l="1"/>
  <c r="AV60" i="3"/>
  <c r="G58" i="3"/>
  <c r="Z58" i="3"/>
  <c r="AJ59" i="3"/>
  <c r="AO59" i="3"/>
  <c r="H58" i="3"/>
  <c r="N58" i="3"/>
  <c r="J59" i="3"/>
  <c r="AL59" i="3"/>
  <c r="AR59" i="3" s="1"/>
  <c r="I59" i="3"/>
  <c r="L60" i="3"/>
  <c r="AR60" i="3"/>
  <c r="AV59" i="3" l="1"/>
  <c r="AU59" i="3"/>
  <c r="AW59" i="3" s="1"/>
  <c r="G57" i="3"/>
  <c r="AJ58" i="3"/>
  <c r="Z57" i="3"/>
  <c r="N57" i="3"/>
  <c r="G6" i="3"/>
  <c r="J58" i="3"/>
  <c r="AO58" i="3"/>
  <c r="AL58" i="3"/>
  <c r="I58" i="3"/>
  <c r="L59" i="3"/>
  <c r="M59" i="3"/>
  <c r="AW60" i="3"/>
  <c r="G56" i="3" l="1"/>
  <c r="AJ57" i="3"/>
  <c r="H56" i="3"/>
  <c r="Z56" i="3"/>
  <c r="AO57" i="3"/>
  <c r="J57" i="3"/>
  <c r="N56" i="3"/>
  <c r="AL57" i="3"/>
  <c r="AR57" i="3" s="1"/>
  <c r="I57" i="3"/>
  <c r="M57" i="3" s="1"/>
  <c r="AR58" i="3"/>
  <c r="H57" i="3"/>
  <c r="L58" i="3"/>
  <c r="AM60" i="3"/>
  <c r="AM61" i="3"/>
  <c r="AM64" i="3"/>
  <c r="AM59" i="3"/>
  <c r="AM57" i="3"/>
  <c r="AM56" i="3"/>
  <c r="AM70" i="3"/>
  <c r="AM66" i="3"/>
  <c r="AM62" i="3"/>
  <c r="AM69" i="3"/>
  <c r="AM65" i="3"/>
  <c r="AM63" i="3"/>
  <c r="AC45" i="3"/>
  <c r="AM67" i="3"/>
  <c r="AM58" i="3"/>
  <c r="AM68" i="3"/>
  <c r="M58" i="3"/>
  <c r="AU58" i="3"/>
  <c r="AV58" i="3"/>
  <c r="AW58" i="3" s="1"/>
  <c r="AN56" i="3" l="1"/>
  <c r="AZ56" i="3"/>
  <c r="BA56" i="3" s="1"/>
  <c r="AZ57" i="3"/>
  <c r="BA57" i="3" s="1"/>
  <c r="AX57" i="3" s="1"/>
  <c r="AN57" i="3"/>
  <c r="AN59" i="3"/>
  <c r="AZ59" i="3"/>
  <c r="BA59" i="3" s="1"/>
  <c r="AX59" i="3" s="1"/>
  <c r="AZ65" i="3"/>
  <c r="BA65" i="3" s="1"/>
  <c r="AX65" i="3" s="1"/>
  <c r="AN65" i="3"/>
  <c r="AZ69" i="3"/>
  <c r="BA69" i="3" s="1"/>
  <c r="AX69" i="3" s="1"/>
  <c r="AN69" i="3"/>
  <c r="AZ61" i="3"/>
  <c r="BA61" i="3" s="1"/>
  <c r="AX61" i="3" s="1"/>
  <c r="AN61" i="3"/>
  <c r="AU57" i="3"/>
  <c r="AV57" i="3"/>
  <c r="AZ58" i="3"/>
  <c r="BA58" i="3" s="1"/>
  <c r="AX58" i="3" s="1"/>
  <c r="AN58" i="3"/>
  <c r="AZ64" i="3"/>
  <c r="BA64" i="3" s="1"/>
  <c r="AX64" i="3" s="1"/>
  <c r="AN64" i="3"/>
  <c r="AZ67" i="3"/>
  <c r="BA67" i="3" s="1"/>
  <c r="AX67" i="3" s="1"/>
  <c r="AN67" i="3"/>
  <c r="AN62" i="3"/>
  <c r="AZ62" i="3"/>
  <c r="BA62" i="3" s="1"/>
  <c r="AX62" i="3" s="1"/>
  <c r="AZ60" i="3"/>
  <c r="BA60" i="3" s="1"/>
  <c r="AX60" i="3" s="1"/>
  <c r="AN60" i="3"/>
  <c r="AN63" i="3"/>
  <c r="AZ63" i="3"/>
  <c r="BA63" i="3" s="1"/>
  <c r="AX63" i="3" s="1"/>
  <c r="AZ66" i="3"/>
  <c r="BA66" i="3" s="1"/>
  <c r="AX66" i="3" s="1"/>
  <c r="AN66" i="3"/>
  <c r="AN68" i="3"/>
  <c r="AZ68" i="3"/>
  <c r="BA68" i="3" s="1"/>
  <c r="AX68" i="3" s="1"/>
  <c r="AZ70" i="3"/>
  <c r="BA70" i="3" s="1"/>
  <c r="AX70" i="3" s="1"/>
  <c r="AN70" i="3"/>
  <c r="L57" i="3"/>
  <c r="G55" i="3"/>
  <c r="AJ56" i="3"/>
  <c r="Z55" i="3"/>
  <c r="J56" i="3"/>
  <c r="AO56" i="3"/>
  <c r="H55" i="3"/>
  <c r="N55" i="3"/>
  <c r="AL56" i="3"/>
  <c r="AR56" i="3" s="1"/>
  <c r="I56" i="3"/>
  <c r="M56" i="3" s="1"/>
  <c r="AV56" i="3" l="1"/>
  <c r="AU56" i="3"/>
  <c r="AW56" i="3" s="1"/>
  <c r="L55" i="3"/>
  <c r="L56" i="3"/>
  <c r="AW57" i="3"/>
  <c r="AX56" i="3"/>
  <c r="G54" i="3"/>
  <c r="AJ55" i="3"/>
  <c r="AO55" i="3"/>
  <c r="Z54" i="3"/>
  <c r="J55" i="3"/>
  <c r="H54" i="3"/>
  <c r="AL55" i="3"/>
  <c r="I55" i="3"/>
  <c r="M55" i="3" s="1"/>
  <c r="AM55" i="3"/>
  <c r="AU55" i="3" l="1"/>
  <c r="AV55" i="3"/>
  <c r="G53" i="3"/>
  <c r="AJ54" i="3"/>
  <c r="AO54" i="3"/>
  <c r="Z53" i="3"/>
  <c r="J54" i="3"/>
  <c r="N53" i="3"/>
  <c r="H53" i="3"/>
  <c r="AL54" i="3"/>
  <c r="AR54" i="3" s="1"/>
  <c r="AM54" i="3"/>
  <c r="I54" i="3"/>
  <c r="N54" i="3"/>
  <c r="AZ55" i="3"/>
  <c r="BA55" i="3" s="1"/>
  <c r="AN55" i="3"/>
  <c r="AR55" i="3"/>
  <c r="M54" i="3" l="1"/>
  <c r="AV54" i="3"/>
  <c r="AU54" i="3"/>
  <c r="AW54" i="3" s="1"/>
  <c r="AX55" i="3"/>
  <c r="G52" i="3"/>
  <c r="AJ53" i="3"/>
  <c r="Z52" i="3"/>
  <c r="H52" i="3"/>
  <c r="J53" i="3"/>
  <c r="L53" i="3" s="1"/>
  <c r="AO53" i="3"/>
  <c r="AL53" i="3"/>
  <c r="AM53" i="3"/>
  <c r="I53" i="3"/>
  <c r="M53" i="3" s="1"/>
  <c r="L54" i="3"/>
  <c r="AZ54" i="3"/>
  <c r="BA54" i="3" s="1"/>
  <c r="AX54" i="3" s="1"/>
  <c r="AN54" i="3"/>
  <c r="AW55" i="3"/>
  <c r="AZ53" i="3" l="1"/>
  <c r="BA53" i="3" s="1"/>
  <c r="AN53" i="3"/>
  <c r="AR53" i="3"/>
  <c r="G51" i="3"/>
  <c r="Z51" i="3" s="1"/>
  <c r="AJ52" i="3"/>
  <c r="N51" i="3"/>
  <c r="H51" i="3"/>
  <c r="J52" i="3"/>
  <c r="L52" i="3" s="1"/>
  <c r="AO52" i="3"/>
  <c r="AL52" i="3"/>
  <c r="AR52" i="3" s="1"/>
  <c r="AM52" i="3"/>
  <c r="I52" i="3"/>
  <c r="N52" i="3"/>
  <c r="AU53" i="3"/>
  <c r="AV53" i="3"/>
  <c r="AW53" i="3" l="1"/>
  <c r="AV52" i="3"/>
  <c r="AU52" i="3"/>
  <c r="AW52" i="3" s="1"/>
  <c r="G50" i="3"/>
  <c r="AJ51" i="3"/>
  <c r="Z50" i="3"/>
  <c r="N50" i="3"/>
  <c r="AO51" i="3"/>
  <c r="H50" i="3"/>
  <c r="J51" i="3"/>
  <c r="AL51" i="3"/>
  <c r="AR51" i="3" s="1"/>
  <c r="AM51" i="3"/>
  <c r="I51" i="3"/>
  <c r="M52" i="3"/>
  <c r="AZ52" i="3"/>
  <c r="BA52" i="3" s="1"/>
  <c r="AX52" i="3" s="1"/>
  <c r="AN52" i="3"/>
  <c r="AX53" i="3"/>
  <c r="AU51" i="3" l="1"/>
  <c r="AV51" i="3"/>
  <c r="M51" i="3"/>
  <c r="L51" i="3"/>
  <c r="G49" i="3"/>
  <c r="Z49" i="3"/>
  <c r="AJ50" i="3"/>
  <c r="AO50" i="3"/>
  <c r="J50" i="3"/>
  <c r="AL50" i="3"/>
  <c r="AM50" i="3"/>
  <c r="I50" i="3"/>
  <c r="AZ51" i="3"/>
  <c r="BA51" i="3" s="1"/>
  <c r="AX51" i="3" s="1"/>
  <c r="AN51" i="3"/>
  <c r="AV50" i="3" l="1"/>
  <c r="AU50" i="3"/>
  <c r="AW50" i="3" s="1"/>
  <c r="G48" i="3"/>
  <c r="AJ49" i="3"/>
  <c r="Z48" i="3"/>
  <c r="AO49" i="3"/>
  <c r="N48" i="3"/>
  <c r="H48" i="3"/>
  <c r="J49" i="3"/>
  <c r="AL49" i="3"/>
  <c r="AR49" i="3" s="1"/>
  <c r="AM49" i="3"/>
  <c r="I49" i="3"/>
  <c r="AN50" i="3"/>
  <c r="AZ50" i="3"/>
  <c r="BA50" i="3" s="1"/>
  <c r="AR50" i="3"/>
  <c r="N49" i="3"/>
  <c r="M50" i="3"/>
  <c r="L50" i="3"/>
  <c r="H49" i="3"/>
  <c r="L49" i="3" s="1"/>
  <c r="AW51" i="3"/>
  <c r="AZ49" i="3" l="1"/>
  <c r="BA49" i="3" s="1"/>
  <c r="AX49" i="3" s="1"/>
  <c r="AN49" i="3"/>
  <c r="L48" i="3"/>
  <c r="L6" i="3" s="1"/>
  <c r="AU49" i="3"/>
  <c r="AV49" i="3"/>
  <c r="AW49" i="3" s="1"/>
  <c r="AX50" i="3"/>
  <c r="G47" i="3"/>
  <c r="AJ48" i="3"/>
  <c r="AE45" i="3"/>
  <c r="Z47" i="3"/>
  <c r="J48" i="3"/>
  <c r="AO48" i="3"/>
  <c r="AL48" i="3"/>
  <c r="AM48" i="3"/>
  <c r="I48" i="3"/>
  <c r="M48" i="3" s="1"/>
  <c r="M6" i="3" s="1"/>
  <c r="L97" i="1" s="1"/>
  <c r="M49" i="3"/>
  <c r="T117" i="1" l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G46" i="3"/>
  <c r="AJ47" i="3"/>
  <c r="J47" i="3"/>
  <c r="O47" i="3" s="1"/>
  <c r="Z46" i="3"/>
  <c r="N46" i="3"/>
  <c r="AO47" i="3"/>
  <c r="H46" i="3"/>
  <c r="AL47" i="3"/>
  <c r="AR47" i="3" s="1"/>
  <c r="AM47" i="3"/>
  <c r="I47" i="3"/>
  <c r="M47" i="3" s="1"/>
  <c r="AR48" i="3"/>
  <c r="P73" i="3"/>
  <c r="Q114" i="3"/>
  <c r="P14" i="3"/>
  <c r="P88" i="3"/>
  <c r="Q86" i="3"/>
  <c r="P72" i="3"/>
  <c r="Q116" i="3"/>
  <c r="P86" i="3"/>
  <c r="P111" i="3"/>
  <c r="P41" i="3"/>
  <c r="P21" i="3"/>
  <c r="O99" i="3"/>
  <c r="O106" i="3"/>
  <c r="Q97" i="3"/>
  <c r="P11" i="3"/>
  <c r="P28" i="3"/>
  <c r="Q56" i="3"/>
  <c r="Q60" i="3"/>
  <c r="O109" i="3"/>
  <c r="Q98" i="3"/>
  <c r="Q99" i="3"/>
  <c r="P20" i="3"/>
  <c r="P25" i="3"/>
  <c r="T102" i="1"/>
  <c r="AA98" i="3"/>
  <c r="AB98" i="3" s="1"/>
  <c r="O92" i="3"/>
  <c r="P94" i="3"/>
  <c r="P76" i="3"/>
  <c r="P67" i="3"/>
  <c r="P33" i="3"/>
  <c r="O94" i="3"/>
  <c r="P35" i="3"/>
  <c r="P12" i="3"/>
  <c r="P117" i="3"/>
  <c r="Q83" i="3"/>
  <c r="P45" i="3"/>
  <c r="O102" i="3"/>
  <c r="Q103" i="3"/>
  <c r="Q65" i="3"/>
  <c r="P110" i="3"/>
  <c r="P101" i="3"/>
  <c r="O111" i="3"/>
  <c r="Q70" i="3"/>
  <c r="Q111" i="3"/>
  <c r="P24" i="3"/>
  <c r="Q93" i="3"/>
  <c r="P32" i="3"/>
  <c r="P109" i="3"/>
  <c r="R109" i="3" s="1"/>
  <c r="S109" i="3" s="1"/>
  <c r="P119" i="3"/>
  <c r="Q46" i="3"/>
  <c r="P58" i="3"/>
  <c r="P95" i="3"/>
  <c r="P64" i="3"/>
  <c r="O100" i="3"/>
  <c r="AA91" i="3"/>
  <c r="Q49" i="3"/>
  <c r="P57" i="3"/>
  <c r="P55" i="3"/>
  <c r="Q74" i="3"/>
  <c r="Q79" i="3"/>
  <c r="O95" i="3"/>
  <c r="Q59" i="3"/>
  <c r="Q119" i="3"/>
  <c r="Q48" i="3"/>
  <c r="O101" i="3"/>
  <c r="P114" i="3"/>
  <c r="Q90" i="3"/>
  <c r="P48" i="3"/>
  <c r="AA85" i="3"/>
  <c r="Q54" i="3"/>
  <c r="O96" i="3"/>
  <c r="O119" i="3"/>
  <c r="P15" i="3"/>
  <c r="AA87" i="3"/>
  <c r="P50" i="3"/>
  <c r="P37" i="3"/>
  <c r="Q78" i="3"/>
  <c r="O113" i="3"/>
  <c r="Q120" i="3"/>
  <c r="Q102" i="3"/>
  <c r="Q47" i="3"/>
  <c r="O115" i="3"/>
  <c r="P79" i="3"/>
  <c r="P112" i="3"/>
  <c r="P78" i="3"/>
  <c r="H97" i="1"/>
  <c r="Q85" i="3"/>
  <c r="P46" i="3"/>
  <c r="R46" i="3" s="1"/>
  <c r="Q108" i="3"/>
  <c r="P39" i="3"/>
  <c r="P60" i="3"/>
  <c r="R60" i="3" s="1"/>
  <c r="Q82" i="3"/>
  <c r="P96" i="3"/>
  <c r="O122" i="3"/>
  <c r="P121" i="3"/>
  <c r="P85" i="3"/>
  <c r="P47" i="3"/>
  <c r="Q68" i="3"/>
  <c r="P27" i="3"/>
  <c r="O90" i="3"/>
  <c r="Q71" i="3"/>
  <c r="O88" i="3"/>
  <c r="Q62" i="3"/>
  <c r="P115" i="3"/>
  <c r="AA86" i="3"/>
  <c r="O114" i="3"/>
  <c r="O121" i="3"/>
  <c r="P106" i="3"/>
  <c r="Q95" i="3"/>
  <c r="P26" i="3"/>
  <c r="AA100" i="3"/>
  <c r="AB100" i="3" s="1"/>
  <c r="P83" i="3"/>
  <c r="Q107" i="3"/>
  <c r="P22" i="3"/>
  <c r="O117" i="3"/>
  <c r="O98" i="3"/>
  <c r="Q84" i="3"/>
  <c r="Q66" i="3"/>
  <c r="AA88" i="3"/>
  <c r="Q75" i="3"/>
  <c r="Q87" i="3"/>
  <c r="Q76" i="3"/>
  <c r="O105" i="3"/>
  <c r="O118" i="3"/>
  <c r="P74" i="3"/>
  <c r="O87" i="3"/>
  <c r="P116" i="3"/>
  <c r="P90" i="3"/>
  <c r="P29" i="3"/>
  <c r="P81" i="3"/>
  <c r="P80" i="3"/>
  <c r="R80" i="3" s="1"/>
  <c r="Q55" i="3"/>
  <c r="Q100" i="3"/>
  <c r="Q81" i="3"/>
  <c r="P31" i="3"/>
  <c r="AA90" i="3"/>
  <c r="Q122" i="3"/>
  <c r="P98" i="3"/>
  <c r="Q73" i="3"/>
  <c r="P63" i="3"/>
  <c r="P13" i="3"/>
  <c r="AA96" i="3"/>
  <c r="P43" i="3"/>
  <c r="O93" i="3"/>
  <c r="P59" i="3"/>
  <c r="P36" i="3"/>
  <c r="P23" i="3"/>
  <c r="Q110" i="3"/>
  <c r="Q105" i="3"/>
  <c r="O103" i="3"/>
  <c r="Q58" i="3"/>
  <c r="O91" i="3"/>
  <c r="P118" i="3"/>
  <c r="O108" i="3"/>
  <c r="P54" i="3"/>
  <c r="O116" i="3"/>
  <c r="Q69" i="3"/>
  <c r="P99" i="3"/>
  <c r="Q115" i="3"/>
  <c r="P65" i="3"/>
  <c r="Q72" i="3"/>
  <c r="P92" i="3"/>
  <c r="Q94" i="3"/>
  <c r="Q96" i="3"/>
  <c r="Q118" i="3"/>
  <c r="Q53" i="3"/>
  <c r="P10" i="3"/>
  <c r="P91" i="3"/>
  <c r="P42" i="3"/>
  <c r="AA92" i="3"/>
  <c r="P40" i="3"/>
  <c r="AA89" i="3"/>
  <c r="AB89" i="3" s="1"/>
  <c r="V93" i="1"/>
  <c r="P84" i="3"/>
  <c r="P97" i="3"/>
  <c r="P53" i="3"/>
  <c r="Q61" i="3"/>
  <c r="Q80" i="3"/>
  <c r="P105" i="3"/>
  <c r="Q64" i="3"/>
  <c r="AA95" i="3"/>
  <c r="P52" i="3"/>
  <c r="P103" i="3"/>
  <c r="R103" i="3" s="1"/>
  <c r="P69" i="3"/>
  <c r="O89" i="3"/>
  <c r="P17" i="3"/>
  <c r="P77" i="3"/>
  <c r="P122" i="3"/>
  <c r="P61" i="3"/>
  <c r="Q52" i="3"/>
  <c r="Q77" i="3"/>
  <c r="P66" i="3"/>
  <c r="R66" i="3" s="1"/>
  <c r="P120" i="3"/>
  <c r="P51" i="3"/>
  <c r="AA97" i="3"/>
  <c r="P68" i="3"/>
  <c r="R68" i="3" s="1"/>
  <c r="S68" i="3" s="1"/>
  <c r="O97" i="3"/>
  <c r="Q113" i="3"/>
  <c r="P70" i="3"/>
  <c r="R70" i="3" s="1"/>
  <c r="P108" i="3"/>
  <c r="Q109" i="3"/>
  <c r="Q106" i="3"/>
  <c r="Q92" i="3"/>
  <c r="Q91" i="3"/>
  <c r="O112" i="3"/>
  <c r="P49" i="3"/>
  <c r="P113" i="3"/>
  <c r="P56" i="3"/>
  <c r="P16" i="3"/>
  <c r="Q104" i="3"/>
  <c r="Q112" i="3"/>
  <c r="P104" i="3"/>
  <c r="R104" i="3" s="1"/>
  <c r="P89" i="3"/>
  <c r="Q51" i="3"/>
  <c r="O104" i="3"/>
  <c r="O86" i="3"/>
  <c r="P44" i="3"/>
  <c r="Q57" i="3"/>
  <c r="Q50" i="3"/>
  <c r="H1" i="3"/>
  <c r="Q101" i="3"/>
  <c r="P107" i="3"/>
  <c r="Q88" i="3"/>
  <c r="Q67" i="3"/>
  <c r="P71" i="3"/>
  <c r="R71" i="3" s="1"/>
  <c r="P30" i="3"/>
  <c r="Q117" i="3"/>
  <c r="P34" i="3"/>
  <c r="P82" i="3"/>
  <c r="P100" i="3"/>
  <c r="P87" i="3"/>
  <c r="P102" i="3"/>
  <c r="P18" i="3"/>
  <c r="Q63" i="3"/>
  <c r="T101" i="1"/>
  <c r="O107" i="3"/>
  <c r="Q89" i="3"/>
  <c r="P75" i="3"/>
  <c r="AA99" i="3"/>
  <c r="P62" i="3"/>
  <c r="O110" i="3"/>
  <c r="Q121" i="3"/>
  <c r="P19" i="3"/>
  <c r="P38" i="3"/>
  <c r="P93" i="3"/>
  <c r="AA93" i="3"/>
  <c r="AA94" i="3"/>
  <c r="O120" i="3"/>
  <c r="T103" i="1"/>
  <c r="T104" i="1"/>
  <c r="T105" i="1"/>
  <c r="T106" i="1"/>
  <c r="T107" i="1"/>
  <c r="T108" i="1"/>
  <c r="T112" i="1"/>
  <c r="T113" i="1"/>
  <c r="T114" i="1"/>
  <c r="T115" i="1"/>
  <c r="T116" i="1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S60" i="3" s="1"/>
  <c r="O59" i="3"/>
  <c r="O58" i="3"/>
  <c r="O57" i="3"/>
  <c r="O56" i="3"/>
  <c r="O55" i="3"/>
  <c r="O54" i="3"/>
  <c r="O53" i="3"/>
  <c r="O52" i="3"/>
  <c r="O51" i="3"/>
  <c r="O50" i="3"/>
  <c r="AZ48" i="3"/>
  <c r="BA48" i="3" s="1"/>
  <c r="AN48" i="3"/>
  <c r="AV48" i="3"/>
  <c r="AU48" i="3"/>
  <c r="O49" i="3"/>
  <c r="H47" i="3"/>
  <c r="L47" i="3" s="1"/>
  <c r="O48" i="3"/>
  <c r="N47" i="3"/>
  <c r="S66" i="3" l="1"/>
  <c r="R59" i="3"/>
  <c r="S80" i="3"/>
  <c r="AB96" i="3"/>
  <c r="R57" i="3"/>
  <c r="W154" i="1"/>
  <c r="S46" i="3"/>
  <c r="S57" i="3"/>
  <c r="AB88" i="3"/>
  <c r="R81" i="3"/>
  <c r="S81" i="3" s="1"/>
  <c r="X81" i="3" s="1"/>
  <c r="AA81" i="3" s="1"/>
  <c r="AB86" i="3"/>
  <c r="R97" i="3"/>
  <c r="S97" i="3" s="1"/>
  <c r="X97" i="3" s="1"/>
  <c r="AB91" i="3"/>
  <c r="R48" i="3"/>
  <c r="S48" i="3" s="1"/>
  <c r="X48" i="3" s="1"/>
  <c r="AA48" i="3" s="1"/>
  <c r="R86" i="3"/>
  <c r="S86" i="3"/>
  <c r="X86" i="3" s="1"/>
  <c r="R79" i="3"/>
  <c r="S71" i="3"/>
  <c r="R89" i="3"/>
  <c r="S89" i="3" s="1"/>
  <c r="AB85" i="3"/>
  <c r="R96" i="3"/>
  <c r="S96" i="3" s="1"/>
  <c r="R84" i="3"/>
  <c r="S84" i="3" s="1"/>
  <c r="R53" i="3"/>
  <c r="S53" i="3" s="1"/>
  <c r="X53" i="3" s="1"/>
  <c r="AA53" i="3" s="1"/>
  <c r="AB93" i="3"/>
  <c r="R92" i="3"/>
  <c r="S92" i="3" s="1"/>
  <c r="R93" i="3"/>
  <c r="S93" i="3" s="1"/>
  <c r="T92" i="3" s="1"/>
  <c r="R69" i="3"/>
  <c r="S69" i="3" s="1"/>
  <c r="T68" i="3" s="1"/>
  <c r="R83" i="3"/>
  <c r="S83" i="3" s="1"/>
  <c r="X83" i="3" s="1"/>
  <c r="AA83" i="3" s="1"/>
  <c r="R110" i="3"/>
  <c r="S110" i="3" s="1"/>
  <c r="X110" i="3" s="1"/>
  <c r="AB97" i="3"/>
  <c r="R100" i="3"/>
  <c r="S100" i="3" s="1"/>
  <c r="X100" i="3" s="1"/>
  <c r="R49" i="3"/>
  <c r="S49" i="3" s="1"/>
  <c r="X49" i="3" s="1"/>
  <c r="AA49" i="3" s="1"/>
  <c r="R52" i="3"/>
  <c r="S52" i="3" s="1"/>
  <c r="X60" i="3"/>
  <c r="AA60" i="3" s="1"/>
  <c r="AX48" i="3"/>
  <c r="R55" i="3"/>
  <c r="S55" i="3" s="1"/>
  <c r="R76" i="3"/>
  <c r="S76" i="3" s="1"/>
  <c r="R107" i="3"/>
  <c r="S107" i="3" s="1"/>
  <c r="X66" i="3"/>
  <c r="AA66" i="3" s="1"/>
  <c r="R65" i="3"/>
  <c r="S65" i="3" s="1"/>
  <c r="T65" i="3" s="1"/>
  <c r="Y65" i="3" s="1"/>
  <c r="R94" i="3"/>
  <c r="S94" i="3" s="1"/>
  <c r="R72" i="3"/>
  <c r="S72" i="3" s="1"/>
  <c r="AB92" i="3"/>
  <c r="AU47" i="3"/>
  <c r="AW47" i="3" s="1"/>
  <c r="AV47" i="3"/>
  <c r="AB90" i="3"/>
  <c r="R50" i="3"/>
  <c r="S50" i="3" s="1"/>
  <c r="R88" i="3"/>
  <c r="S88" i="3" s="1"/>
  <c r="AB99" i="3"/>
  <c r="S70" i="3"/>
  <c r="R61" i="3"/>
  <c r="S61" i="3" s="1"/>
  <c r="R105" i="3"/>
  <c r="S105" i="3" s="1"/>
  <c r="R91" i="3"/>
  <c r="S91" i="3" s="1"/>
  <c r="T91" i="3" s="1"/>
  <c r="R74" i="3"/>
  <c r="S74" i="3" s="1"/>
  <c r="R106" i="3"/>
  <c r="S106" i="3" s="1"/>
  <c r="R47" i="3"/>
  <c r="S47" i="3" s="1"/>
  <c r="D38" i="1"/>
  <c r="F38" i="1" s="1"/>
  <c r="V27" i="1" s="1"/>
  <c r="C40" i="1" s="1"/>
  <c r="C97" i="1"/>
  <c r="AB87" i="3"/>
  <c r="R64" i="3"/>
  <c r="S64" i="3" s="1"/>
  <c r="X92" i="3"/>
  <c r="R67" i="3"/>
  <c r="S67" i="3" s="1"/>
  <c r="T67" i="3" s="1"/>
  <c r="Y67" i="3" s="1"/>
  <c r="R51" i="3"/>
  <c r="S51" i="3" s="1"/>
  <c r="S103" i="3"/>
  <c r="S104" i="3"/>
  <c r="R62" i="3"/>
  <c r="S62" i="3" s="1"/>
  <c r="R108" i="3"/>
  <c r="S108" i="3" s="1"/>
  <c r="R99" i="3"/>
  <c r="S99" i="3" s="1"/>
  <c r="S59" i="3"/>
  <c r="R85" i="3"/>
  <c r="S85" i="3" s="1"/>
  <c r="T85" i="3" s="1"/>
  <c r="U150" i="1" s="1"/>
  <c r="R78" i="3"/>
  <c r="S78" i="3" s="1"/>
  <c r="R95" i="3"/>
  <c r="S95" i="3" s="1"/>
  <c r="X68" i="3"/>
  <c r="AA68" i="3" s="1"/>
  <c r="R98" i="3"/>
  <c r="S98" i="3" s="1"/>
  <c r="R82" i="3"/>
  <c r="S82" i="3" s="1"/>
  <c r="R75" i="3"/>
  <c r="S75" i="3" s="1"/>
  <c r="AW48" i="3"/>
  <c r="R56" i="3"/>
  <c r="S56" i="3" s="1"/>
  <c r="R77" i="3"/>
  <c r="S77" i="3" s="1"/>
  <c r="R54" i="3"/>
  <c r="S54" i="3" s="1"/>
  <c r="R58" i="3"/>
  <c r="S58" i="3" s="1"/>
  <c r="R73" i="3"/>
  <c r="S73" i="3" s="1"/>
  <c r="X80" i="3"/>
  <c r="AA80" i="3" s="1"/>
  <c r="X109" i="3"/>
  <c r="AZ47" i="3"/>
  <c r="BA47" i="3" s="1"/>
  <c r="AX47" i="3" s="1"/>
  <c r="AN47" i="3"/>
  <c r="R102" i="3"/>
  <c r="S102" i="3" s="1"/>
  <c r="R63" i="3"/>
  <c r="S63" i="3" s="1"/>
  <c r="R87" i="3"/>
  <c r="S87" i="3" s="1"/>
  <c r="AB95" i="3"/>
  <c r="R90" i="3"/>
  <c r="S90" i="3" s="1"/>
  <c r="L46" i="3"/>
  <c r="AB94" i="3"/>
  <c r="S79" i="3"/>
  <c r="T79" i="3" s="1"/>
  <c r="U144" i="1" s="1"/>
  <c r="R101" i="3"/>
  <c r="S101" i="3" s="1"/>
  <c r="G45" i="3"/>
  <c r="H45" i="3" s="1"/>
  <c r="Z45" i="3"/>
  <c r="AJ46" i="3"/>
  <c r="J46" i="3"/>
  <c r="O46" i="3" s="1"/>
  <c r="AO46" i="3"/>
  <c r="AL46" i="3"/>
  <c r="AR46" i="3" s="1"/>
  <c r="AM46" i="3"/>
  <c r="I46" i="3"/>
  <c r="M46" i="3" s="1"/>
  <c r="X93" i="3" l="1"/>
  <c r="X54" i="3"/>
  <c r="AA54" i="3" s="1"/>
  <c r="T53" i="3"/>
  <c r="Y53" i="3" s="1"/>
  <c r="W150" i="1"/>
  <c r="X57" i="3"/>
  <c r="AA57" i="3" s="1"/>
  <c r="T56" i="3"/>
  <c r="Y56" i="3" s="1"/>
  <c r="X46" i="3"/>
  <c r="AA46" i="3" s="1"/>
  <c r="T47" i="3"/>
  <c r="Y47" i="3" s="1"/>
  <c r="W153" i="1"/>
  <c r="Y68" i="3"/>
  <c r="V133" i="1" s="1"/>
  <c r="U133" i="1"/>
  <c r="W152" i="1"/>
  <c r="T48" i="3"/>
  <c r="Y48" i="3" s="1"/>
  <c r="T80" i="3"/>
  <c r="U145" i="1" s="1"/>
  <c r="T51" i="3"/>
  <c r="Y51" i="3" s="1"/>
  <c r="W151" i="1"/>
  <c r="X52" i="3"/>
  <c r="AA52" i="3" s="1"/>
  <c r="T99" i="3"/>
  <c r="Y99" i="3" s="1"/>
  <c r="T70" i="3"/>
  <c r="T52" i="3"/>
  <c r="Y52" i="3" s="1"/>
  <c r="T109" i="3"/>
  <c r="Y109" i="3" s="1"/>
  <c r="X71" i="3"/>
  <c r="AA71" i="3" s="1"/>
  <c r="X69" i="3"/>
  <c r="AA69" i="3" s="1"/>
  <c r="X62" i="3"/>
  <c r="AA62" i="3" s="1"/>
  <c r="T61" i="3"/>
  <c r="Y61" i="3" s="1"/>
  <c r="Y85" i="3"/>
  <c r="X101" i="3"/>
  <c r="T100" i="3"/>
  <c r="X77" i="3"/>
  <c r="AA77" i="3" s="1"/>
  <c r="T76" i="3"/>
  <c r="U141" i="1" s="1"/>
  <c r="X75" i="3"/>
  <c r="AA75" i="3" s="1"/>
  <c r="T74" i="3"/>
  <c r="U139" i="1" s="1"/>
  <c r="T107" i="3"/>
  <c r="Y107" i="3" s="1"/>
  <c r="X108" i="3"/>
  <c r="X70" i="3"/>
  <c r="AA70" i="3" s="1"/>
  <c r="T69" i="3"/>
  <c r="X96" i="3"/>
  <c r="T95" i="3"/>
  <c r="X107" i="3"/>
  <c r="T106" i="3"/>
  <c r="Y106" i="3" s="1"/>
  <c r="AZ46" i="3"/>
  <c r="BA46" i="3" s="1"/>
  <c r="AX46" i="3" s="1"/>
  <c r="AN46" i="3"/>
  <c r="X88" i="3"/>
  <c r="T87" i="3"/>
  <c r="U152" i="1" s="1"/>
  <c r="X94" i="3"/>
  <c r="T93" i="3"/>
  <c r="X102" i="3"/>
  <c r="T101" i="3"/>
  <c r="Y101" i="3" s="1"/>
  <c r="Y80" i="3"/>
  <c r="V145" i="1" s="1"/>
  <c r="X47" i="3"/>
  <c r="AA47" i="3" s="1"/>
  <c r="T46" i="3"/>
  <c r="Y46" i="3" s="1"/>
  <c r="X76" i="3"/>
  <c r="AA76" i="3" s="1"/>
  <c r="T75" i="3"/>
  <c r="U140" i="1" s="1"/>
  <c r="N45" i="3"/>
  <c r="X95" i="3"/>
  <c r="T94" i="3"/>
  <c r="T105" i="3"/>
  <c r="Y105" i="3" s="1"/>
  <c r="X106" i="3"/>
  <c r="T49" i="3"/>
  <c r="Y49" i="3" s="1"/>
  <c r="X50" i="3"/>
  <c r="AA50" i="3" s="1"/>
  <c r="X65" i="3"/>
  <c r="AA65" i="3" s="1"/>
  <c r="AB65" i="3" s="1"/>
  <c r="W130" i="1" s="1"/>
  <c r="T64" i="3"/>
  <c r="Y64" i="3" s="1"/>
  <c r="X105" i="3"/>
  <c r="T104" i="3"/>
  <c r="Y104" i="3" s="1"/>
  <c r="X82" i="3"/>
  <c r="AA82" i="3" s="1"/>
  <c r="T81" i="3"/>
  <c r="U146" i="1" s="1"/>
  <c r="X61" i="3"/>
  <c r="AA61" i="3" s="1"/>
  <c r="T60" i="3"/>
  <c r="Y60" i="3" s="1"/>
  <c r="X64" i="3"/>
  <c r="AA64" i="3" s="1"/>
  <c r="T63" i="3"/>
  <c r="Y63" i="3" s="1"/>
  <c r="T96" i="3"/>
  <c r="X55" i="3"/>
  <c r="AA55" i="3" s="1"/>
  <c r="T54" i="3"/>
  <c r="Y54" i="3" s="1"/>
  <c r="AB48" i="3"/>
  <c r="Y79" i="3"/>
  <c r="V144" i="1" s="1"/>
  <c r="U108" i="1"/>
  <c r="X103" i="3"/>
  <c r="T102" i="3"/>
  <c r="Y102" i="3" s="1"/>
  <c r="X87" i="3"/>
  <c r="T86" i="3"/>
  <c r="U151" i="1" s="1"/>
  <c r="X98" i="3"/>
  <c r="T97" i="3"/>
  <c r="X72" i="3"/>
  <c r="AA72" i="3" s="1"/>
  <c r="T71" i="3"/>
  <c r="Y91" i="3"/>
  <c r="T77" i="3"/>
  <c r="U142" i="1" s="1"/>
  <c r="X78" i="3"/>
  <c r="AA78" i="3" s="1"/>
  <c r="T73" i="3"/>
  <c r="U138" i="1" s="1"/>
  <c r="X74" i="3"/>
  <c r="AA74" i="3" s="1"/>
  <c r="X51" i="3"/>
  <c r="AA51" i="3" s="1"/>
  <c r="T50" i="3"/>
  <c r="Y50" i="3" s="1"/>
  <c r="X73" i="3"/>
  <c r="AA73" i="3" s="1"/>
  <c r="T72" i="3"/>
  <c r="U137" i="1" s="1"/>
  <c r="T88" i="3"/>
  <c r="U153" i="1" s="1"/>
  <c r="X89" i="3"/>
  <c r="X79" i="3"/>
  <c r="AA79" i="3" s="1"/>
  <c r="T78" i="3"/>
  <c r="U143" i="1" s="1"/>
  <c r="X67" i="3"/>
  <c r="AA67" i="3" s="1"/>
  <c r="AB67" i="3" s="1"/>
  <c r="W132" i="1" s="1"/>
  <c r="T66" i="3"/>
  <c r="Y66" i="3" s="1"/>
  <c r="X63" i="3"/>
  <c r="AA63" i="3" s="1"/>
  <c r="T62" i="3"/>
  <c r="Y62" i="3" s="1"/>
  <c r="X84" i="3"/>
  <c r="AA84" i="3" s="1"/>
  <c r="T83" i="3"/>
  <c r="U148" i="1" s="1"/>
  <c r="X91" i="3"/>
  <c r="T90" i="3"/>
  <c r="AU46" i="3"/>
  <c r="AV46" i="3"/>
  <c r="AW46" i="3" s="1"/>
  <c r="X56" i="3"/>
  <c r="AA56" i="3" s="1"/>
  <c r="T55" i="3"/>
  <c r="Y55" i="3" s="1"/>
  <c r="X85" i="3"/>
  <c r="T84" i="3"/>
  <c r="U149" i="1" s="1"/>
  <c r="X104" i="3"/>
  <c r="T103" i="3"/>
  <c r="Y103" i="3" s="1"/>
  <c r="T82" i="3"/>
  <c r="U147" i="1" s="1"/>
  <c r="X59" i="3"/>
  <c r="AA59" i="3" s="1"/>
  <c r="T58" i="3"/>
  <c r="Y58" i="3" s="1"/>
  <c r="AB58" i="3" s="1"/>
  <c r="W123" i="1" s="1"/>
  <c r="Y92" i="3"/>
  <c r="T59" i="3"/>
  <c r="Y59" i="3" s="1"/>
  <c r="G44" i="3"/>
  <c r="Z44" i="3"/>
  <c r="AJ45" i="3"/>
  <c r="AO45" i="3"/>
  <c r="H44" i="3"/>
  <c r="J45" i="3"/>
  <c r="N44" i="3"/>
  <c r="AL45" i="3"/>
  <c r="AR45" i="3" s="1"/>
  <c r="AM45" i="3"/>
  <c r="I45" i="3"/>
  <c r="M45" i="3" s="1"/>
  <c r="Q45" i="3"/>
  <c r="R45" i="3" s="1"/>
  <c r="X99" i="3"/>
  <c r="T98" i="3"/>
  <c r="X90" i="3"/>
  <c r="T89" i="3"/>
  <c r="U154" i="1" s="1"/>
  <c r="X58" i="3"/>
  <c r="AA58" i="3" s="1"/>
  <c r="T57" i="3"/>
  <c r="Y57" i="3" s="1"/>
  <c r="T108" i="3"/>
  <c r="Y108" i="3" s="1"/>
  <c r="V131" i="1" l="1"/>
  <c r="AB52" i="3"/>
  <c r="W117" i="1" s="1"/>
  <c r="AB56" i="3"/>
  <c r="W121" i="1" s="1"/>
  <c r="V123" i="1"/>
  <c r="U112" i="1"/>
  <c r="U131" i="1"/>
  <c r="AB53" i="3"/>
  <c r="W118" i="1" s="1"/>
  <c r="U123" i="1"/>
  <c r="AB47" i="3"/>
  <c r="U117" i="1"/>
  <c r="Y70" i="3"/>
  <c r="V135" i="1" s="1"/>
  <c r="U135" i="1"/>
  <c r="Y71" i="3"/>
  <c r="V136" i="1" s="1"/>
  <c r="U136" i="1"/>
  <c r="V117" i="1"/>
  <c r="V150" i="1"/>
  <c r="AB51" i="3"/>
  <c r="AB66" i="3"/>
  <c r="W131" i="1" s="1"/>
  <c r="AB57" i="3"/>
  <c r="W122" i="1" s="1"/>
  <c r="S45" i="3"/>
  <c r="T45" i="3" s="1"/>
  <c r="Y45" i="3" s="1"/>
  <c r="U124" i="1"/>
  <c r="AB54" i="3"/>
  <c r="W119" i="1" s="1"/>
  <c r="V124" i="1"/>
  <c r="Y69" i="3"/>
  <c r="V134" i="1" s="1"/>
  <c r="U134" i="1"/>
  <c r="AB68" i="3"/>
  <c r="W133" i="1" s="1"/>
  <c r="AB71" i="3"/>
  <c r="W136" i="1" s="1"/>
  <c r="AB62" i="3"/>
  <c r="W127" i="1" s="1"/>
  <c r="AB59" i="3"/>
  <c r="W124" i="1" s="1"/>
  <c r="Y87" i="3"/>
  <c r="U119" i="1"/>
  <c r="Y74" i="3"/>
  <c r="Y81" i="3"/>
  <c r="V146" i="1" s="1"/>
  <c r="U113" i="1"/>
  <c r="AZ45" i="3"/>
  <c r="BA45" i="3" s="1"/>
  <c r="AN45" i="3"/>
  <c r="AB79" i="3"/>
  <c r="V108" i="1"/>
  <c r="Y72" i="3"/>
  <c r="V137" i="1" s="1"/>
  <c r="Y100" i="3"/>
  <c r="V132" i="1" s="1"/>
  <c r="U132" i="1"/>
  <c r="Y83" i="3"/>
  <c r="V148" i="1" s="1"/>
  <c r="U115" i="1"/>
  <c r="Y95" i="3"/>
  <c r="V127" i="1" s="1"/>
  <c r="U127" i="1"/>
  <c r="L44" i="3"/>
  <c r="AB46" i="3"/>
  <c r="AB50" i="3"/>
  <c r="AB80" i="3"/>
  <c r="V112" i="1"/>
  <c r="Y89" i="3"/>
  <c r="U121" i="1"/>
  <c r="AQ45" i="3"/>
  <c r="AV45" i="3"/>
  <c r="AP45" i="3"/>
  <c r="AS45" i="3" s="1"/>
  <c r="AT45" i="3" s="1"/>
  <c r="AU45" i="3"/>
  <c r="AW45" i="3" s="1"/>
  <c r="AB63" i="3"/>
  <c r="W128" i="1" s="1"/>
  <c r="AB49" i="3"/>
  <c r="Y97" i="3"/>
  <c r="V129" i="1" s="1"/>
  <c r="U129" i="1"/>
  <c r="Y96" i="3"/>
  <c r="V128" i="1" s="1"/>
  <c r="U128" i="1"/>
  <c r="Y78" i="3"/>
  <c r="Y77" i="3"/>
  <c r="Y75" i="3"/>
  <c r="Y84" i="3"/>
  <c r="V149" i="1" s="1"/>
  <c r="U116" i="1"/>
  <c r="Y98" i="3"/>
  <c r="V130" i="1" s="1"/>
  <c r="U130" i="1"/>
  <c r="AB69" i="3"/>
  <c r="W134" i="1" s="1"/>
  <c r="Y86" i="3"/>
  <c r="U118" i="1"/>
  <c r="AB64" i="3"/>
  <c r="W129" i="1" s="1"/>
  <c r="Y93" i="3"/>
  <c r="V125" i="1" s="1"/>
  <c r="U125" i="1"/>
  <c r="AB61" i="3"/>
  <c r="W126" i="1" s="1"/>
  <c r="Y73" i="3"/>
  <c r="Y76" i="3"/>
  <c r="V141" i="1" s="1"/>
  <c r="AX45" i="3"/>
  <c r="Y90" i="3"/>
  <c r="V122" i="1" s="1"/>
  <c r="U122" i="1"/>
  <c r="Y88" i="3"/>
  <c r="U120" i="1"/>
  <c r="L45" i="3"/>
  <c r="O45" i="3"/>
  <c r="Y82" i="3"/>
  <c r="V147" i="1" s="1"/>
  <c r="U114" i="1"/>
  <c r="G43" i="3"/>
  <c r="Z43" i="3" s="1"/>
  <c r="J44" i="3"/>
  <c r="O44" i="3" s="1"/>
  <c r="N43" i="3"/>
  <c r="Q44" i="3"/>
  <c r="R44" i="3" s="1"/>
  <c r="S44" i="3" s="1"/>
  <c r="I44" i="3"/>
  <c r="M44" i="3" s="1"/>
  <c r="AB55" i="3"/>
  <c r="W120" i="1" s="1"/>
  <c r="AB74" i="3"/>
  <c r="AB60" i="3"/>
  <c r="W125" i="1" s="1"/>
  <c r="Y94" i="3"/>
  <c r="V126" i="1" s="1"/>
  <c r="U126" i="1"/>
  <c r="T44" i="3" l="1"/>
  <c r="Y44" i="3" s="1"/>
  <c r="AB70" i="3"/>
  <c r="W135" i="1" s="1"/>
  <c r="W139" i="1"/>
  <c r="V120" i="1"/>
  <c r="V153" i="1"/>
  <c r="V139" i="1"/>
  <c r="W112" i="1"/>
  <c r="W145" i="1"/>
  <c r="W108" i="1"/>
  <c r="W144" i="1"/>
  <c r="V138" i="1"/>
  <c r="V106" i="1"/>
  <c r="V142" i="1"/>
  <c r="V107" i="1"/>
  <c r="V143" i="1"/>
  <c r="V118" i="1"/>
  <c r="V151" i="1"/>
  <c r="X45" i="3"/>
  <c r="AA45" i="3" s="1"/>
  <c r="AB45" i="3" s="1"/>
  <c r="V121" i="1"/>
  <c r="V154" i="1"/>
  <c r="V119" i="1"/>
  <c r="V152" i="1"/>
  <c r="V140" i="1"/>
  <c r="U106" i="1"/>
  <c r="U107" i="1"/>
  <c r="AB77" i="3"/>
  <c r="AB75" i="3"/>
  <c r="AB83" i="3"/>
  <c r="V115" i="1"/>
  <c r="AB81" i="3"/>
  <c r="V113" i="1"/>
  <c r="H43" i="3"/>
  <c r="AB78" i="3"/>
  <c r="AB73" i="3"/>
  <c r="X44" i="3"/>
  <c r="AA44" i="3" s="1"/>
  <c r="AS50" i="3"/>
  <c r="AT46" i="3"/>
  <c r="AT47" i="3" s="1"/>
  <c r="AT48" i="3" s="1"/>
  <c r="AT49" i="3" s="1"/>
  <c r="AT50" i="3" s="1"/>
  <c r="AT51" i="3" s="1"/>
  <c r="AT52" i="3" s="1"/>
  <c r="AT53" i="3" s="1"/>
  <c r="AT54" i="3" s="1"/>
  <c r="AT55" i="3" s="1"/>
  <c r="AT56" i="3" s="1"/>
  <c r="AT57" i="3" s="1"/>
  <c r="AT58" i="3" s="1"/>
  <c r="AT59" i="3" s="1"/>
  <c r="AT60" i="3" s="1"/>
  <c r="AT61" i="3" s="1"/>
  <c r="AT62" i="3" s="1"/>
  <c r="AT63" i="3" s="1"/>
  <c r="AT64" i="3" s="1"/>
  <c r="AT65" i="3" s="1"/>
  <c r="AT66" i="3" s="1"/>
  <c r="AT67" i="3" s="1"/>
  <c r="AT68" i="3" s="1"/>
  <c r="AT69" i="3" s="1"/>
  <c r="AT70" i="3" s="1"/>
  <c r="AS66" i="3"/>
  <c r="AS67" i="3"/>
  <c r="AS65" i="3"/>
  <c r="AS70" i="3"/>
  <c r="AS69" i="3"/>
  <c r="AS68" i="3"/>
  <c r="AS63" i="3"/>
  <c r="AS64" i="3"/>
  <c r="AS62" i="3"/>
  <c r="AS61" i="3"/>
  <c r="AS59" i="3"/>
  <c r="AS60" i="3"/>
  <c r="AS58" i="3"/>
  <c r="AS57" i="3"/>
  <c r="AS56" i="3"/>
  <c r="AS55" i="3"/>
  <c r="AS54" i="3"/>
  <c r="AS53" i="3"/>
  <c r="AS52" i="3"/>
  <c r="AS51" i="3"/>
  <c r="AS49" i="3"/>
  <c r="AS48" i="3"/>
  <c r="AS47" i="3"/>
  <c r="AS46" i="3"/>
  <c r="G42" i="3"/>
  <c r="Z42" i="3" s="1"/>
  <c r="H42" i="3"/>
  <c r="J43" i="3"/>
  <c r="O43" i="3" s="1"/>
  <c r="Q43" i="3"/>
  <c r="R43" i="3" s="1"/>
  <c r="S43" i="3" s="1"/>
  <c r="T43" i="3" s="1"/>
  <c r="I43" i="3"/>
  <c r="M43" i="3" s="1"/>
  <c r="AB76" i="3"/>
  <c r="AB82" i="3"/>
  <c r="V114" i="1"/>
  <c r="AB84" i="3"/>
  <c r="V116" i="1"/>
  <c r="AB72" i="3"/>
  <c r="Y43" i="3" l="1"/>
  <c r="V105" i="1" s="1"/>
  <c r="U105" i="1"/>
  <c r="W141" i="1"/>
  <c r="W113" i="1"/>
  <c r="W146" i="1"/>
  <c r="W115" i="1"/>
  <c r="W148" i="1"/>
  <c r="W140" i="1"/>
  <c r="W114" i="1"/>
  <c r="W147" i="1"/>
  <c r="W138" i="1"/>
  <c r="W107" i="1"/>
  <c r="W143" i="1"/>
  <c r="W137" i="1"/>
  <c r="W142" i="1"/>
  <c r="W116" i="1"/>
  <c r="W149" i="1"/>
  <c r="AB44" i="3"/>
  <c r="W106" i="1" s="1"/>
  <c r="X43" i="3"/>
  <c r="AA43" i="3" s="1"/>
  <c r="AB43" i="3" s="1"/>
  <c r="W105" i="1" s="1"/>
  <c r="N42" i="3"/>
  <c r="L43" i="3"/>
  <c r="G41" i="3"/>
  <c r="Z41" i="3"/>
  <c r="H41" i="3"/>
  <c r="N41" i="3"/>
  <c r="J42" i="3"/>
  <c r="Q42" i="3"/>
  <c r="R42" i="3" s="1"/>
  <c r="I42" i="3"/>
  <c r="M42" i="3" s="1"/>
  <c r="G40" i="3" l="1"/>
  <c r="Z40" i="3"/>
  <c r="H40" i="3"/>
  <c r="J41" i="3"/>
  <c r="O41" i="3" s="1"/>
  <c r="N40" i="3"/>
  <c r="Q41" i="3"/>
  <c r="R41" i="3" s="1"/>
  <c r="S41" i="3" s="1"/>
  <c r="I41" i="3"/>
  <c r="M41" i="3" s="1"/>
  <c r="L41" i="3"/>
  <c r="L42" i="3"/>
  <c r="O42" i="3"/>
  <c r="S42" i="3" s="1"/>
  <c r="T42" i="3" l="1"/>
  <c r="X42" i="3"/>
  <c r="AA42" i="3" s="1"/>
  <c r="T41" i="3"/>
  <c r="X41" i="3"/>
  <c r="AA41" i="3" s="1"/>
  <c r="G39" i="3"/>
  <c r="Z39" i="3"/>
  <c r="H39" i="3"/>
  <c r="N39" i="3"/>
  <c r="J40" i="3"/>
  <c r="Q40" i="3"/>
  <c r="R40" i="3" s="1"/>
  <c r="I40" i="3"/>
  <c r="M40" i="3" s="1"/>
  <c r="Y41" i="3" l="1"/>
  <c r="V103" i="1" s="1"/>
  <c r="U103" i="1"/>
  <c r="Y42" i="3"/>
  <c r="V104" i="1" s="1"/>
  <c r="U104" i="1"/>
  <c r="L40" i="3"/>
  <c r="O40" i="3"/>
  <c r="S40" i="3" s="1"/>
  <c r="G38" i="3"/>
  <c r="Z38" i="3"/>
  <c r="J39" i="3"/>
  <c r="O39" i="3" s="1"/>
  <c r="N38" i="3"/>
  <c r="H38" i="3"/>
  <c r="Q39" i="3"/>
  <c r="R39" i="3" s="1"/>
  <c r="S39" i="3" s="1"/>
  <c r="I39" i="3"/>
  <c r="T40" i="3" l="1"/>
  <c r="X40" i="3"/>
  <c r="AA40" i="3" s="1"/>
  <c r="T39" i="3"/>
  <c r="AB42" i="3"/>
  <c r="W104" i="1" s="1"/>
  <c r="AB41" i="3"/>
  <c r="W103" i="1" s="1"/>
  <c r="G37" i="3"/>
  <c r="Z37" i="3"/>
  <c r="J38" i="3"/>
  <c r="O38" i="3" s="1"/>
  <c r="H37" i="3"/>
  <c r="N37" i="3"/>
  <c r="Q38" i="3"/>
  <c r="R38" i="3" s="1"/>
  <c r="S38" i="3" s="1"/>
  <c r="T38" i="3" s="1"/>
  <c r="Y38" i="3" s="1"/>
  <c r="I38" i="3"/>
  <c r="M38" i="3" s="1"/>
  <c r="L39" i="3"/>
  <c r="X39" i="3"/>
  <c r="AA39" i="3" s="1"/>
  <c r="L38" i="3"/>
  <c r="M39" i="3"/>
  <c r="Y39" i="3" l="1"/>
  <c r="T6" i="3"/>
  <c r="H100" i="1" s="1"/>
  <c r="U101" i="1"/>
  <c r="AB39" i="3"/>
  <c r="Y40" i="3"/>
  <c r="V102" i="1" s="1"/>
  <c r="U102" i="1"/>
  <c r="X38" i="3"/>
  <c r="AA38" i="3" s="1"/>
  <c r="AB38" i="3" s="1"/>
  <c r="G36" i="3"/>
  <c r="Z36" i="3"/>
  <c r="H36" i="3"/>
  <c r="J37" i="3"/>
  <c r="O37" i="3" s="1"/>
  <c r="N36" i="3"/>
  <c r="Q37" i="3"/>
  <c r="R37" i="3" s="1"/>
  <c r="I37" i="3"/>
  <c r="AB40" i="3" l="1"/>
  <c r="W102" i="1" s="1"/>
  <c r="W101" i="1"/>
  <c r="AB6" i="3"/>
  <c r="H102" i="1" s="1"/>
  <c r="S37" i="3"/>
  <c r="V101" i="1"/>
  <c r="Y6" i="3"/>
  <c r="H101" i="1" s="1"/>
  <c r="L36" i="3"/>
  <c r="G35" i="3"/>
  <c r="Z35" i="3"/>
  <c r="H35" i="3"/>
  <c r="N35" i="3"/>
  <c r="J36" i="3"/>
  <c r="O36" i="3" s="1"/>
  <c r="Q36" i="3"/>
  <c r="R36" i="3" s="1"/>
  <c r="I36" i="3"/>
  <c r="L37" i="3"/>
  <c r="M37" i="3"/>
  <c r="S36" i="3" l="1"/>
  <c r="X37" i="3"/>
  <c r="AA37" i="3" s="1"/>
  <c r="T36" i="3"/>
  <c r="Y36" i="3" s="1"/>
  <c r="T37" i="3"/>
  <c r="Y37" i="3" s="1"/>
  <c r="M36" i="3"/>
  <c r="X36" i="3"/>
  <c r="AA36" i="3" s="1"/>
  <c r="AB36" i="3" s="1"/>
  <c r="G34" i="3"/>
  <c r="Z34" i="3"/>
  <c r="J35" i="3"/>
  <c r="O35" i="3" s="1"/>
  <c r="N34" i="3"/>
  <c r="H34" i="3"/>
  <c r="Q35" i="3"/>
  <c r="R35" i="3" s="1"/>
  <c r="S35" i="3" s="1"/>
  <c r="T35" i="3" s="1"/>
  <c r="Y35" i="3" s="1"/>
  <c r="I35" i="3"/>
  <c r="M35" i="3" s="1"/>
  <c r="AB37" i="3" l="1"/>
  <c r="X35" i="3"/>
  <c r="AA35" i="3" s="1"/>
  <c r="AB35" i="3" s="1"/>
  <c r="G33" i="3"/>
  <c r="Z33" i="3"/>
  <c r="J34" i="3"/>
  <c r="O34" i="3" s="1"/>
  <c r="H33" i="3"/>
  <c r="N33" i="3"/>
  <c r="Q34" i="3"/>
  <c r="R34" i="3" s="1"/>
  <c r="S34" i="3" s="1"/>
  <c r="T34" i="3" s="1"/>
  <c r="Y34" i="3" s="1"/>
  <c r="I34" i="3"/>
  <c r="M34" i="3" s="1"/>
  <c r="L34" i="3"/>
  <c r="L35" i="3"/>
  <c r="G32" i="3" l="1"/>
  <c r="Z32" i="3"/>
  <c r="J33" i="3"/>
  <c r="O33" i="3" s="1"/>
  <c r="N32" i="3"/>
  <c r="H32" i="3"/>
  <c r="Q33" i="3"/>
  <c r="R33" i="3" s="1"/>
  <c r="S33" i="3" s="1"/>
  <c r="I33" i="3"/>
  <c r="M33" i="3" s="1"/>
  <c r="X34" i="3"/>
  <c r="AA34" i="3" s="1"/>
  <c r="AB34" i="3" s="1"/>
  <c r="T33" i="3"/>
  <c r="Y33" i="3" s="1"/>
  <c r="X33" i="3" l="1"/>
  <c r="AA33" i="3" s="1"/>
  <c r="AB33" i="3" s="1"/>
  <c r="G31" i="3"/>
  <c r="Z31" i="3"/>
  <c r="J32" i="3"/>
  <c r="O32" i="3" s="1"/>
  <c r="N31" i="3"/>
  <c r="H31" i="3"/>
  <c r="Q32" i="3"/>
  <c r="R32" i="3" s="1"/>
  <c r="S32" i="3" s="1"/>
  <c r="T32" i="3" s="1"/>
  <c r="Y32" i="3" s="1"/>
  <c r="I32" i="3"/>
  <c r="M32" i="3" s="1"/>
  <c r="L32" i="3"/>
  <c r="L33" i="3"/>
  <c r="X32" i="3" l="1"/>
  <c r="AA32" i="3" s="1"/>
  <c r="AB32" i="3" s="1"/>
  <c r="G30" i="3"/>
  <c r="Z30" i="3" s="1"/>
  <c r="J31" i="3"/>
  <c r="N30" i="3"/>
  <c r="H30" i="3"/>
  <c r="Q31" i="3"/>
  <c r="R31" i="3" s="1"/>
  <c r="I31" i="3"/>
  <c r="M31" i="3" l="1"/>
  <c r="O31" i="3"/>
  <c r="S31" i="3" s="1"/>
  <c r="T31" i="3" s="1"/>
  <c r="Y31" i="3" s="1"/>
  <c r="G29" i="3"/>
  <c r="Z29" i="3"/>
  <c r="J30" i="3"/>
  <c r="O30" i="3" s="1"/>
  <c r="N29" i="3"/>
  <c r="H29" i="3"/>
  <c r="Q30" i="3"/>
  <c r="R30" i="3" s="1"/>
  <c r="S30" i="3" s="1"/>
  <c r="I30" i="3"/>
  <c r="M30" i="3" s="1"/>
  <c r="L31" i="3"/>
  <c r="G28" i="3" l="1"/>
  <c r="Z28" i="3"/>
  <c r="J29" i="3"/>
  <c r="O29" i="3" s="1"/>
  <c r="H28" i="3"/>
  <c r="N28" i="3"/>
  <c r="Q29" i="3"/>
  <c r="R29" i="3" s="1"/>
  <c r="I29" i="3"/>
  <c r="M29" i="3" s="1"/>
  <c r="X31" i="3"/>
  <c r="AA31" i="3" s="1"/>
  <c r="AB31" i="3" s="1"/>
  <c r="T30" i="3"/>
  <c r="Y30" i="3" s="1"/>
  <c r="X30" i="3"/>
  <c r="AA30" i="3" s="1"/>
  <c r="L30" i="3"/>
  <c r="S29" i="3" l="1"/>
  <c r="L29" i="3"/>
  <c r="AB30" i="3"/>
  <c r="G27" i="3"/>
  <c r="Z27" i="3"/>
  <c r="J28" i="3"/>
  <c r="O28" i="3" s="1"/>
  <c r="N27" i="3"/>
  <c r="H27" i="3"/>
  <c r="Q28" i="3"/>
  <c r="R28" i="3" s="1"/>
  <c r="S28" i="3" s="1"/>
  <c r="I28" i="3"/>
  <c r="M28" i="3" s="1"/>
  <c r="X29" i="3" l="1"/>
  <c r="AA29" i="3" s="1"/>
  <c r="AB29" i="3" s="1"/>
  <c r="T28" i="3"/>
  <c r="Y28" i="3" s="1"/>
  <c r="T29" i="3"/>
  <c r="Y29" i="3" s="1"/>
  <c r="X28" i="3"/>
  <c r="AA28" i="3" s="1"/>
  <c r="G26" i="3"/>
  <c r="Z26" i="3"/>
  <c r="H26" i="3"/>
  <c r="J27" i="3"/>
  <c r="O27" i="3" s="1"/>
  <c r="N26" i="3"/>
  <c r="Q27" i="3"/>
  <c r="R27" i="3" s="1"/>
  <c r="I27" i="3"/>
  <c r="M27" i="3" s="1"/>
  <c r="L28" i="3"/>
  <c r="S27" i="3" l="1"/>
  <c r="AB28" i="3"/>
  <c r="G25" i="3"/>
  <c r="J26" i="3"/>
  <c r="O26" i="3" s="1"/>
  <c r="Z25" i="3"/>
  <c r="N25" i="3"/>
  <c r="H25" i="3"/>
  <c r="Q26" i="3"/>
  <c r="R26" i="3" s="1"/>
  <c r="S26" i="3" s="1"/>
  <c r="I26" i="3"/>
  <c r="M26" i="3" s="1"/>
  <c r="L27" i="3"/>
  <c r="X27" i="3" l="1"/>
  <c r="AA27" i="3" s="1"/>
  <c r="AB27" i="3" s="1"/>
  <c r="T26" i="3"/>
  <c r="Y26" i="3" s="1"/>
  <c r="T27" i="3"/>
  <c r="Y27" i="3" s="1"/>
  <c r="X26" i="3"/>
  <c r="AA26" i="3" s="1"/>
  <c r="AB26" i="3" s="1"/>
  <c r="G24" i="3"/>
  <c r="Z24" i="3"/>
  <c r="H24" i="3"/>
  <c r="J25" i="3"/>
  <c r="N24" i="3"/>
  <c r="Q25" i="3"/>
  <c r="R25" i="3" s="1"/>
  <c r="I25" i="3"/>
  <c r="L26" i="3"/>
  <c r="S25" i="3" l="1"/>
  <c r="T25" i="3" s="1"/>
  <c r="Y25" i="3" s="1"/>
  <c r="T24" i="3"/>
  <c r="Y24" i="3" s="1"/>
  <c r="X25" i="3"/>
  <c r="AA25" i="3" s="1"/>
  <c r="M25" i="3"/>
  <c r="O25" i="3"/>
  <c r="G23" i="3"/>
  <c r="Z23" i="3"/>
  <c r="N23" i="3"/>
  <c r="H23" i="3"/>
  <c r="J24" i="3"/>
  <c r="O24" i="3" s="1"/>
  <c r="Q24" i="3"/>
  <c r="R24" i="3" s="1"/>
  <c r="AA24" i="3"/>
  <c r="I24" i="3"/>
  <c r="M24" i="3" s="1"/>
  <c r="L25" i="3"/>
  <c r="G22" i="3" l="1"/>
  <c r="Z22" i="3"/>
  <c r="N22" i="3"/>
  <c r="J23" i="3"/>
  <c r="H22" i="3"/>
  <c r="AA23" i="3"/>
  <c r="AB23" i="3" s="1"/>
  <c r="Q23" i="3"/>
  <c r="R23" i="3" s="1"/>
  <c r="I23" i="3"/>
  <c r="M23" i="3" s="1"/>
  <c r="L24" i="3"/>
  <c r="AB24" i="3"/>
  <c r="AB25" i="3"/>
  <c r="L23" i="3" l="1"/>
  <c r="O23" i="3"/>
  <c r="G21" i="3"/>
  <c r="J22" i="3"/>
  <c r="O22" i="3" s="1"/>
  <c r="Z21" i="3"/>
  <c r="H21" i="3"/>
  <c r="N21" i="3"/>
  <c r="Q22" i="3"/>
  <c r="R22" i="3" s="1"/>
  <c r="S22" i="3" s="1"/>
  <c r="I22" i="3"/>
  <c r="M22" i="3" s="1"/>
  <c r="T21" i="3" l="1"/>
  <c r="Y21" i="3" s="1"/>
  <c r="X22" i="3"/>
  <c r="AA22" i="3" s="1"/>
  <c r="AB22" i="3" s="1"/>
  <c r="G20" i="3"/>
  <c r="Z20" i="3"/>
  <c r="H20" i="3"/>
  <c r="N20" i="3"/>
  <c r="J21" i="3"/>
  <c r="O21" i="3" s="1"/>
  <c r="Q21" i="3"/>
  <c r="R21" i="3" s="1"/>
  <c r="S21" i="3" s="1"/>
  <c r="I21" i="3"/>
  <c r="M21" i="3" s="1"/>
  <c r="L22" i="3"/>
  <c r="L21" i="3" l="1"/>
  <c r="X21" i="3"/>
  <c r="AA21" i="3" s="1"/>
  <c r="AB21" i="3" s="1"/>
  <c r="T20" i="3"/>
  <c r="Y20" i="3" s="1"/>
  <c r="G19" i="3"/>
  <c r="Z19" i="3"/>
  <c r="J20" i="3"/>
  <c r="O20" i="3" s="1"/>
  <c r="N19" i="3"/>
  <c r="H19" i="3"/>
  <c r="Q20" i="3"/>
  <c r="R20" i="3" s="1"/>
  <c r="S20" i="3" s="1"/>
  <c r="I20" i="3"/>
  <c r="M20" i="3" s="1"/>
  <c r="X20" i="3" l="1"/>
  <c r="AA20" i="3" s="1"/>
  <c r="AB20" i="3" s="1"/>
  <c r="T19" i="3"/>
  <c r="Y19" i="3" s="1"/>
  <c r="G18" i="3"/>
  <c r="N18" i="3" s="1"/>
  <c r="J19" i="3"/>
  <c r="O19" i="3" s="1"/>
  <c r="Q19" i="3"/>
  <c r="R19" i="3" s="1"/>
  <c r="S19" i="3" s="1"/>
  <c r="I19" i="3"/>
  <c r="M19" i="3" s="1"/>
  <c r="L20" i="3"/>
  <c r="T18" i="3" l="1"/>
  <c r="Y18" i="3" s="1"/>
  <c r="X19" i="3"/>
  <c r="AA19" i="3" s="1"/>
  <c r="AB19" i="3" s="1"/>
  <c r="H18" i="3"/>
  <c r="G17" i="3"/>
  <c r="Z17" i="3"/>
  <c r="H17" i="3"/>
  <c r="J18" i="3"/>
  <c r="O18" i="3" s="1"/>
  <c r="N17" i="3"/>
  <c r="Q18" i="3"/>
  <c r="R18" i="3" s="1"/>
  <c r="S18" i="3" s="1"/>
  <c r="I18" i="3"/>
  <c r="M18" i="3" s="1"/>
  <c r="Z18" i="3"/>
  <c r="L19" i="3"/>
  <c r="U19" i="3" l="1"/>
  <c r="U20" i="3" s="1"/>
  <c r="U21" i="3" s="1"/>
  <c r="U22" i="3" s="1"/>
  <c r="U23" i="3" s="1"/>
  <c r="U24" i="3" s="1"/>
  <c r="U25" i="3" s="1"/>
  <c r="T17" i="3"/>
  <c r="Y17" i="3" s="1"/>
  <c r="X18" i="3"/>
  <c r="AA18" i="3" s="1"/>
  <c r="G16" i="3"/>
  <c r="J17" i="3"/>
  <c r="O17" i="3" s="1"/>
  <c r="Z16" i="3"/>
  <c r="N16" i="3"/>
  <c r="H16" i="3"/>
  <c r="AA17" i="3"/>
  <c r="Q17" i="3"/>
  <c r="R17" i="3" s="1"/>
  <c r="I17" i="3"/>
  <c r="M17" i="3" s="1"/>
  <c r="L18" i="3"/>
  <c r="U26" i="3" l="1"/>
  <c r="W25" i="3"/>
  <c r="G15" i="3"/>
  <c r="Z15" i="3"/>
  <c r="J16" i="3"/>
  <c r="O16" i="3" s="1"/>
  <c r="H15" i="3"/>
  <c r="N15" i="3"/>
  <c r="Q16" i="3"/>
  <c r="R16" i="3" s="1"/>
  <c r="AA16" i="3"/>
  <c r="AB16" i="3" s="1"/>
  <c r="I16" i="3"/>
  <c r="M16" i="3" s="1"/>
  <c r="L16" i="3"/>
  <c r="AB17" i="3"/>
  <c r="AB18" i="3"/>
  <c r="L17" i="3"/>
  <c r="U27" i="3" l="1"/>
  <c r="W26" i="3"/>
  <c r="G14" i="3"/>
  <c r="Z14" i="3"/>
  <c r="N14" i="3"/>
  <c r="J15" i="3"/>
  <c r="H14" i="3"/>
  <c r="AA15" i="3"/>
  <c r="AB15" i="3" s="1"/>
  <c r="Q15" i="3"/>
  <c r="R15" i="3" s="1"/>
  <c r="I15" i="3"/>
  <c r="U28" i="3" l="1"/>
  <c r="W27" i="3"/>
  <c r="M15" i="3"/>
  <c r="O15" i="3"/>
  <c r="G13" i="3"/>
  <c r="Z13" i="3"/>
  <c r="N13" i="3"/>
  <c r="H13" i="3"/>
  <c r="J14" i="3"/>
  <c r="O14" i="3" s="1"/>
  <c r="AA14" i="3"/>
  <c r="AB14" i="3" s="1"/>
  <c r="Q14" i="3"/>
  <c r="R14" i="3" s="1"/>
  <c r="I14" i="3"/>
  <c r="M14" i="3" s="1"/>
  <c r="L15" i="3"/>
  <c r="U29" i="3" l="1"/>
  <c r="W28" i="3"/>
  <c r="L14" i="3"/>
  <c r="G12" i="3"/>
  <c r="Z12" i="3"/>
  <c r="H12" i="3"/>
  <c r="J13" i="3"/>
  <c r="O13" i="3" s="1"/>
  <c r="N12" i="3"/>
  <c r="AA13" i="3"/>
  <c r="AB13" i="3" s="1"/>
  <c r="Q13" i="3"/>
  <c r="R13" i="3" s="1"/>
  <c r="I13" i="3"/>
  <c r="M13" i="3" s="1"/>
  <c r="U30" i="3" l="1"/>
  <c r="W29" i="3"/>
  <c r="G11" i="3"/>
  <c r="Z11" i="3"/>
  <c r="J12" i="3"/>
  <c r="N11" i="3"/>
  <c r="H11" i="3"/>
  <c r="Q12" i="3"/>
  <c r="R12" i="3" s="1"/>
  <c r="AA12" i="3"/>
  <c r="AB12" i="3" s="1"/>
  <c r="I12" i="3"/>
  <c r="M12" i="3" s="1"/>
  <c r="L13" i="3"/>
  <c r="U31" i="3" l="1"/>
  <c r="W30" i="3"/>
  <c r="L12" i="3"/>
  <c r="O12" i="3"/>
  <c r="G10" i="3"/>
  <c r="Z10" i="3"/>
  <c r="J11" i="3"/>
  <c r="N10" i="3"/>
  <c r="H10" i="3"/>
  <c r="Q11" i="3"/>
  <c r="R11" i="3" s="1"/>
  <c r="AA11" i="3"/>
  <c r="AB11" i="3" s="1"/>
  <c r="I11" i="3"/>
  <c r="M11" i="3" s="1"/>
  <c r="U32" i="3" l="1"/>
  <c r="W31" i="3"/>
  <c r="L11" i="3"/>
  <c r="O11" i="3"/>
  <c r="J10" i="3"/>
  <c r="O10" i="3" s="1"/>
  <c r="Q10" i="3"/>
  <c r="R10" i="3" s="1"/>
  <c r="AA10" i="3"/>
  <c r="AB10" i="3" s="1"/>
  <c r="I10" i="3"/>
  <c r="M10" i="3" s="1"/>
  <c r="U33" i="3" l="1"/>
  <c r="W32" i="3"/>
  <c r="L10" i="3"/>
  <c r="U34" i="3" l="1"/>
  <c r="W33" i="3"/>
  <c r="U35" i="3" l="1"/>
  <c r="W34" i="3"/>
  <c r="U36" i="3" l="1"/>
  <c r="W35" i="3"/>
  <c r="U37" i="3" l="1"/>
  <c r="W36" i="3"/>
  <c r="U38" i="3" l="1"/>
  <c r="W37" i="3"/>
  <c r="U39" i="3" l="1"/>
  <c r="W38" i="3"/>
  <c r="U40" i="3" l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U59" i="3" s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W39" i="3"/>
  <c r="U74" i="3" l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U94" i="3" s="1"/>
  <c r="U95" i="3" s="1"/>
  <c r="U96" i="3" s="1"/>
  <c r="U97" i="3" s="1"/>
  <c r="U98" i="3" s="1"/>
  <c r="U99" i="3" s="1"/>
  <c r="U100" i="3" s="1"/>
  <c r="U101" i="3" s="1"/>
  <c r="U102" i="3" s="1"/>
  <c r="U103" i="3" s="1"/>
  <c r="U104" i="3" s="1"/>
  <c r="U105" i="3" s="1"/>
  <c r="U106" i="3" s="1"/>
  <c r="U107" i="3" s="1"/>
  <c r="U108" i="3" s="1"/>
  <c r="U109" i="3" s="1"/>
  <c r="U110" i="3" s="1"/>
  <c r="V6" i="3"/>
  <c r="U6" i="3"/>
  <c r="V48" i="3" l="1"/>
  <c r="W48" i="3" s="1"/>
  <c r="V40" i="3"/>
  <c r="W40" i="3" s="1"/>
  <c r="V55" i="3"/>
  <c r="W55" i="3" s="1"/>
  <c r="X120" i="1" s="1"/>
  <c r="V50" i="3"/>
  <c r="W50" i="3" s="1"/>
  <c r="V54" i="3"/>
  <c r="W54" i="3" s="1"/>
  <c r="V46" i="3"/>
  <c r="W46" i="3" s="1"/>
  <c r="V45" i="3"/>
  <c r="W45" i="3" s="1"/>
  <c r="V61" i="3"/>
  <c r="W61" i="3" s="1"/>
  <c r="V53" i="3"/>
  <c r="W53" i="3" s="1"/>
  <c r="X118" i="1" s="1"/>
  <c r="V60" i="3"/>
  <c r="W60" i="3" s="1"/>
  <c r="X125" i="1" s="1"/>
  <c r="V47" i="3"/>
  <c r="W47" i="3" s="1"/>
  <c r="V49" i="3"/>
  <c r="W49" i="3" s="1"/>
  <c r="V41" i="3"/>
  <c r="W41" i="3" s="1"/>
  <c r="V43" i="3"/>
  <c r="W43" i="3" s="1"/>
  <c r="V58" i="3"/>
  <c r="W58" i="3" s="1"/>
  <c r="V56" i="3"/>
  <c r="W56" i="3" s="1"/>
  <c r="X121" i="1" s="1"/>
  <c r="V59" i="3"/>
  <c r="W59" i="3" s="1"/>
  <c r="V57" i="3"/>
  <c r="W57" i="3" s="1"/>
  <c r="X122" i="1" s="1"/>
  <c r="V62" i="3"/>
  <c r="W62" i="3" s="1"/>
  <c r="V70" i="3"/>
  <c r="W70" i="3" s="1"/>
  <c r="X135" i="1" s="1"/>
  <c r="V63" i="3"/>
  <c r="W63" i="3" s="1"/>
  <c r="V44" i="3"/>
  <c r="W44" i="3" s="1"/>
  <c r="V68" i="3"/>
  <c r="W68" i="3" s="1"/>
  <c r="X133" i="1" s="1"/>
  <c r="V71" i="3"/>
  <c r="W71" i="3" s="1"/>
  <c r="X136" i="1" s="1"/>
  <c r="V42" i="3"/>
  <c r="W42" i="3" s="1"/>
  <c r="V65" i="3"/>
  <c r="W65" i="3" s="1"/>
  <c r="X130" i="1" s="1"/>
  <c r="V52" i="3"/>
  <c r="W52" i="3" s="1"/>
  <c r="V66" i="3"/>
  <c r="W66" i="3" s="1"/>
  <c r="X131" i="1" s="1"/>
  <c r="V64" i="3"/>
  <c r="W64" i="3" s="1"/>
  <c r="X129" i="1" s="1"/>
  <c r="V67" i="3"/>
  <c r="W67" i="3" s="1"/>
  <c r="X132" i="1" s="1"/>
  <c r="V72" i="3"/>
  <c r="W72" i="3" s="1"/>
  <c r="X137" i="1" s="1"/>
  <c r="V69" i="3"/>
  <c r="W69" i="3" s="1"/>
  <c r="X134" i="1" s="1"/>
  <c r="V51" i="3"/>
  <c r="W51" i="3" s="1"/>
  <c r="V74" i="3"/>
  <c r="W74" i="3" s="1"/>
  <c r="V95" i="3"/>
  <c r="W95" i="3" s="1"/>
  <c r="V81" i="3"/>
  <c r="W81" i="3" s="1"/>
  <c r="V101" i="3"/>
  <c r="W101" i="3" s="1"/>
  <c r="V99" i="3"/>
  <c r="W99" i="3" s="1"/>
  <c r="V90" i="3"/>
  <c r="W90" i="3" s="1"/>
  <c r="V110" i="3"/>
  <c r="W110" i="3" s="1"/>
  <c r="V96" i="3"/>
  <c r="W96" i="3" s="1"/>
  <c r="V75" i="3"/>
  <c r="W75" i="3" s="1"/>
  <c r="V76" i="3"/>
  <c r="W76" i="3" s="1"/>
  <c r="V98" i="3"/>
  <c r="W98" i="3" s="1"/>
  <c r="V106" i="3"/>
  <c r="W106" i="3" s="1"/>
  <c r="V88" i="3"/>
  <c r="W88" i="3" s="1"/>
  <c r="V93" i="3"/>
  <c r="W93" i="3" s="1"/>
  <c r="V86" i="3"/>
  <c r="W86" i="3" s="1"/>
  <c r="V94" i="3"/>
  <c r="W94" i="3" s="1"/>
  <c r="V103" i="3"/>
  <c r="W103" i="3" s="1"/>
  <c r="V102" i="3"/>
  <c r="W102" i="3" s="1"/>
  <c r="V87" i="3"/>
  <c r="W87" i="3" s="1"/>
  <c r="V80" i="3"/>
  <c r="W80" i="3" s="1"/>
  <c r="V79" i="3"/>
  <c r="W79" i="3" s="1"/>
  <c r="V85" i="3"/>
  <c r="W85" i="3" s="1"/>
  <c r="X150" i="1" s="1"/>
  <c r="V105" i="3"/>
  <c r="W105" i="3" s="1"/>
  <c r="V107" i="3"/>
  <c r="W107" i="3" s="1"/>
  <c r="V92" i="3"/>
  <c r="W92" i="3" s="1"/>
  <c r="V109" i="3"/>
  <c r="W109" i="3" s="1"/>
  <c r="V97" i="3"/>
  <c r="W97" i="3" s="1"/>
  <c r="V83" i="3"/>
  <c r="W83" i="3" s="1"/>
  <c r="X148" i="1" s="1"/>
  <c r="V73" i="3"/>
  <c r="W73" i="3" s="1"/>
  <c r="V89" i="3"/>
  <c r="W89" i="3" s="1"/>
  <c r="V84" i="3"/>
  <c r="W84" i="3" s="1"/>
  <c r="X149" i="1" s="1"/>
  <c r="V104" i="3"/>
  <c r="W104" i="3" s="1"/>
  <c r="V82" i="3"/>
  <c r="W82" i="3" s="1"/>
  <c r="X147" i="1" s="1"/>
  <c r="V77" i="3"/>
  <c r="W77" i="3" s="1"/>
  <c r="V100" i="3"/>
  <c r="W100" i="3" s="1"/>
  <c r="V108" i="3"/>
  <c r="W108" i="3" s="1"/>
  <c r="V91" i="3"/>
  <c r="W91" i="3" s="1"/>
  <c r="V78" i="3"/>
  <c r="W78" i="3" s="1"/>
  <c r="X143" i="1" s="1"/>
  <c r="X103" i="1" l="1"/>
  <c r="X139" i="1"/>
  <c r="X101" i="1"/>
  <c r="X128" i="1"/>
  <c r="X106" i="1"/>
  <c r="X142" i="1"/>
  <c r="X105" i="1"/>
  <c r="X141" i="1"/>
  <c r="X108" i="1"/>
  <c r="X144" i="1"/>
  <c r="X104" i="1"/>
  <c r="X140" i="1"/>
  <c r="X112" i="1"/>
  <c r="X145" i="1"/>
  <c r="X113" i="1"/>
  <c r="X146" i="1"/>
  <c r="X102" i="1"/>
  <c r="X138" i="1"/>
  <c r="X127" i="1"/>
  <c r="X117" i="1"/>
  <c r="W7" i="3"/>
  <c r="H108" i="1" s="1"/>
  <c r="F57" i="1" s="1"/>
  <c r="X123" i="1"/>
  <c r="X114" i="1"/>
  <c r="X124" i="1"/>
  <c r="X115" i="1"/>
  <c r="X126" i="1"/>
  <c r="X116" i="1"/>
  <c r="X119" i="1"/>
  <c r="X1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Fabig</author>
  </authors>
  <commentList>
    <comment ref="D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Der Eintritt erfolgt immer zum 1. des Monats.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<sst xmlns="http://schemas.openxmlformats.org/spreadsheetml/2006/main" count="204" uniqueCount="172">
  <si>
    <t>GE· BE· IN Versicherungen VVaG</t>
  </si>
  <si>
    <t xml:space="preserve">Tarif der Abteilung </t>
  </si>
  <si>
    <t>(B,C oder D)</t>
  </si>
  <si>
    <t xml:space="preserve">Tarif </t>
  </si>
  <si>
    <t>F</t>
  </si>
  <si>
    <t xml:space="preserve"> </t>
  </si>
  <si>
    <t>Nebenrechnungen</t>
  </si>
  <si>
    <t xml:space="preserve"> + Plausibilitätsprüfungen</t>
  </si>
  <si>
    <t xml:space="preserve">Name: </t>
  </si>
  <si>
    <t>Musterfrau</t>
  </si>
  <si>
    <t>Geschl.:</t>
  </si>
  <si>
    <t>M</t>
  </si>
  <si>
    <t>(m=männl.)</t>
  </si>
  <si>
    <t xml:space="preserve">Geschl. </t>
  </si>
  <si>
    <t xml:space="preserve">Geburtsdatum: </t>
  </si>
  <si>
    <t>J</t>
  </si>
  <si>
    <t xml:space="preserve">Eintritt: </t>
  </si>
  <si>
    <t xml:space="preserve">Alter: </t>
  </si>
  <si>
    <t>Alter Ein</t>
  </si>
  <si>
    <t>Anteile</t>
  </si>
  <si>
    <t>Beitrag bis</t>
  </si>
  <si>
    <t>Endalter</t>
  </si>
  <si>
    <t xml:space="preserve"> DM</t>
  </si>
  <si>
    <t xml:space="preserve">Stichtag: </t>
  </si>
  <si>
    <t>(gerundet)</t>
  </si>
  <si>
    <t>Eintr.+Vers.zeit</t>
  </si>
  <si>
    <t xml:space="preserve">Versicherungszeit: </t>
  </si>
  <si>
    <t>Vers.zeit</t>
  </si>
  <si>
    <t xml:space="preserve">Rück- </t>
  </si>
  <si>
    <t xml:space="preserve">     Versicherungssumme</t>
  </si>
  <si>
    <t xml:space="preserve">jährlicher Beitrag: </t>
  </si>
  <si>
    <t>€</t>
  </si>
  <si>
    <t xml:space="preserve">Beitrag </t>
  </si>
  <si>
    <t xml:space="preserve">Jahr </t>
  </si>
  <si>
    <t>Alter</t>
  </si>
  <si>
    <t>Versicher.-</t>
  </si>
  <si>
    <t xml:space="preserve">Jahres- </t>
  </si>
  <si>
    <t xml:space="preserve">Deckungs- </t>
  </si>
  <si>
    <t xml:space="preserve">vergütung </t>
  </si>
  <si>
    <t xml:space="preserve">beitrags- </t>
  </si>
  <si>
    <t xml:space="preserve">mit progn. </t>
  </si>
  <si>
    <t xml:space="preserve">  nur beitragsf. Summe!</t>
  </si>
  <si>
    <t xml:space="preserve"> bestehende Vers.Summe: </t>
  </si>
  <si>
    <t>zeit</t>
  </si>
  <si>
    <t xml:space="preserve">beitrag </t>
  </si>
  <si>
    <t xml:space="preserve">kapital </t>
  </si>
  <si>
    <t xml:space="preserve"> zum </t>
  </si>
  <si>
    <t xml:space="preserve">frei ab </t>
  </si>
  <si>
    <t xml:space="preserve">Überschuß </t>
  </si>
  <si>
    <t>Ergebnisse</t>
  </si>
  <si>
    <t xml:space="preserve">Versicherungssumme: </t>
  </si>
  <si>
    <t xml:space="preserve">Deckungskapital: </t>
  </si>
  <si>
    <t xml:space="preserve">Rückvergütung: </t>
  </si>
  <si>
    <t xml:space="preserve">VS bei Beitragsfreistellung: </t>
  </si>
  <si>
    <t xml:space="preserve"> erreichter Überschuß: </t>
  </si>
  <si>
    <t>Prognose</t>
  </si>
  <si>
    <t xml:space="preserve"> progn. Überschuß: </t>
  </si>
  <si>
    <t xml:space="preserve"> progn. Zins p.a.: </t>
  </si>
  <si>
    <t>nur Tarif C02</t>
  </si>
  <si>
    <t xml:space="preserve">Überschüsse bis Alter: </t>
  </si>
  <si>
    <t xml:space="preserve">Die prognostizierten Überschüsse und prognostizierten Zinsen können nicht </t>
  </si>
  <si>
    <t>garantiert werden. Sie basieren auf den derzeit geltenden Überschuss - und</t>
  </si>
  <si>
    <t>Zinssätzen und sind z.B. abhängig von der Zinsentwicklung am Kapitalmarkt.</t>
  </si>
  <si>
    <t>DAV 2008 T 2. Ordnung</t>
  </si>
  <si>
    <t>Zins p.a.=</t>
  </si>
  <si>
    <t xml:space="preserve">Jahresbeitrag </t>
  </si>
  <si>
    <t>Verw. Kosten</t>
  </si>
  <si>
    <t>vom Bruttojahresbeitrag</t>
  </si>
  <si>
    <t>Berechnung</t>
  </si>
  <si>
    <t>v=</t>
  </si>
  <si>
    <t xml:space="preserve">progn. Überschuß (%) </t>
  </si>
  <si>
    <t>der Vers.summe für jedes beitragsfreie Jahr</t>
  </si>
  <si>
    <t>von k und f:</t>
  </si>
  <si>
    <t>1/4 jährl.Zahlung</t>
  </si>
  <si>
    <t xml:space="preserve">progn. Zins (%) </t>
  </si>
  <si>
    <t>Abschlussk</t>
  </si>
  <si>
    <t xml:space="preserve">der Vers.summe </t>
  </si>
  <si>
    <t>t=</t>
  </si>
  <si>
    <t>Zahlungsweise (1,4,6,12)</t>
  </si>
  <si>
    <t>Unfallzusatz</t>
  </si>
  <si>
    <t>der Vers.summe für jedes Beitragsjahr bis 65</t>
  </si>
  <si>
    <t>Zins p %=</t>
  </si>
  <si>
    <t>Dynamik st %=</t>
  </si>
  <si>
    <t>Alter Eintritt</t>
  </si>
  <si>
    <t>Tafelende</t>
  </si>
  <si>
    <t>rechn. Alter am Stichtag</t>
  </si>
  <si>
    <t>Überschuß-Ende</t>
  </si>
  <si>
    <t>x</t>
  </si>
  <si>
    <t>qx</t>
  </si>
  <si>
    <t>qy</t>
  </si>
  <si>
    <t>qxy</t>
  </si>
  <si>
    <t>lx</t>
  </si>
  <si>
    <t>Dx</t>
  </si>
  <si>
    <t>Nx</t>
  </si>
  <si>
    <t>BL</t>
  </si>
  <si>
    <t>BB</t>
  </si>
  <si>
    <t>BL/BB</t>
  </si>
  <si>
    <t>Bls</t>
  </si>
  <si>
    <t>BBS</t>
  </si>
  <si>
    <t>BLK</t>
  </si>
  <si>
    <t>BBK</t>
  </si>
  <si>
    <t>SUMME</t>
  </si>
  <si>
    <t>Rückstell.</t>
  </si>
  <si>
    <t>Überschuß/Zins</t>
  </si>
  <si>
    <t xml:space="preserve">zusätzl. </t>
  </si>
  <si>
    <t>Auszahl. im</t>
  </si>
  <si>
    <t xml:space="preserve">Rückvergütung </t>
  </si>
  <si>
    <t>normiertes</t>
  </si>
  <si>
    <t xml:space="preserve">beitragsfreie Vers.Summe </t>
  </si>
  <si>
    <t>f (t,p,st)=</t>
  </si>
  <si>
    <t>Tarif C04</t>
  </si>
  <si>
    <t>Mit Wartezeit</t>
  </si>
  <si>
    <t>Beitrag</t>
  </si>
  <si>
    <t>Deckung</t>
  </si>
  <si>
    <t>Verw.Kosten</t>
  </si>
  <si>
    <t xml:space="preserve">im Alter x </t>
  </si>
  <si>
    <t>Überschüsse</t>
  </si>
  <si>
    <t>Todesfall</t>
  </si>
  <si>
    <t>Deckungsk.</t>
  </si>
  <si>
    <t xml:space="preserve">ab Alter x  </t>
  </si>
  <si>
    <t>k (t,st)=</t>
  </si>
  <si>
    <t>Summe:</t>
  </si>
  <si>
    <t>Prospektive Berechnung</t>
  </si>
  <si>
    <t>Beitrag ohne Kosten etc</t>
  </si>
  <si>
    <t>VK</t>
  </si>
  <si>
    <t>DRST</t>
  </si>
  <si>
    <t>Prospektiv</t>
  </si>
  <si>
    <t>Beitragsbarwert</t>
  </si>
  <si>
    <t>Mit WZ</t>
  </si>
  <si>
    <t>C03 ohne WZ</t>
  </si>
  <si>
    <t>C04 mit WZ</t>
  </si>
  <si>
    <t>Tarif C03 oder C04</t>
  </si>
  <si>
    <t xml:space="preserve">GE·BE·IN Versicherungen VVaG </t>
  </si>
  <si>
    <t>Eingabe</t>
  </si>
  <si>
    <t>(Name, Vorname)</t>
  </si>
  <si>
    <t>Tag</t>
  </si>
  <si>
    <t>Monat</t>
  </si>
  <si>
    <t>Jahr</t>
  </si>
  <si>
    <t/>
  </si>
  <si>
    <t>= Eintrittsalter</t>
  </si>
  <si>
    <t>Beitragszahlung bis (Alter)</t>
  </si>
  <si>
    <t>Versicherungssumme  500,- bis 8.000,- €</t>
  </si>
  <si>
    <r>
      <t xml:space="preserve">Höhe der Vers.-Summe </t>
    </r>
    <r>
      <rPr>
        <b/>
        <sz val="10"/>
        <rFont val="Arial"/>
        <family val="2"/>
      </rPr>
      <t>x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</si>
  <si>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x</t>
    </r>
    <r>
      <rPr>
        <b/>
        <vertAlign val="superscript"/>
        <sz val="8"/>
        <rFont val="Arial"/>
        <family val="2"/>
      </rPr>
      <t>1</t>
    </r>
    <r>
      <rPr>
        <b/>
        <sz val="10"/>
        <rFont val="Arial"/>
        <family val="2"/>
      </rPr>
      <t>)</t>
    </r>
  </si>
  <si>
    <r>
      <t>x</t>
    </r>
    <r>
      <rPr>
        <b/>
        <vertAlign val="superscript"/>
        <sz val="8"/>
        <rFont val="Arial"/>
        <family val="2"/>
      </rPr>
      <t>2</t>
    </r>
    <r>
      <rPr>
        <b/>
        <sz val="10"/>
        <rFont val="Arial"/>
        <family val="2"/>
      </rPr>
      <t>)</t>
    </r>
  </si>
  <si>
    <t>Die Versicherungssumme muss durch 500 teilbar sein und</t>
  </si>
  <si>
    <t>darf mit Vorversicherungen zusammen 8.000 nicht überschreiten.</t>
  </si>
  <si>
    <t>Auswertung</t>
  </si>
  <si>
    <t xml:space="preserve">Jahresbeitrag: </t>
  </si>
  <si>
    <t xml:space="preserve">Die Prognose ist eine Vorschau wie sich die Versicherung entwickelt bis zu dem eingegebenem </t>
  </si>
  <si>
    <t>Alter. Die Überschusszinsen sowie die lfd. Zinsen sind nur Prognosen und sind nicht garantiert.</t>
  </si>
  <si>
    <t>Das Alter ist als Variable einzutragen.</t>
  </si>
  <si>
    <t xml:space="preserve"> progn. Überschuss: </t>
  </si>
  <si>
    <t xml:space="preserve">VS mit Überschußbeteiligung (mit 85 ): </t>
  </si>
  <si>
    <t>= Pflichteingaben</t>
  </si>
  <si>
    <t>C04</t>
  </si>
  <si>
    <t>Sterbegeldversicherung mit laufender Beitragszahlung Tarif C04</t>
  </si>
  <si>
    <r>
      <t>(Abschluss 18 bis 70 Jahre ohne Gesundheitsprüfung mit Wartezeiten x</t>
    </r>
    <r>
      <rPr>
        <b/>
        <vertAlign val="superscript"/>
        <sz val="11"/>
        <rFont val="Arial"/>
        <family val="2"/>
      </rPr>
      <t>1</t>
    </r>
    <r>
      <rPr>
        <b/>
        <sz val="12"/>
        <rFont val="Arial"/>
        <family val="2"/>
      </rPr>
      <t>)</t>
    </r>
  </si>
  <si>
    <t>Alter in Jahren</t>
  </si>
  <si>
    <t>Es gilt eine dreijährige Wartezeit in der eine wie folgt gestaffelte Leistung fällig wird:</t>
  </si>
  <si>
    <t>- 01. bis 06. Monat - Keine Leistung</t>
  </si>
  <si>
    <t>- 07. bis 12. Monat - Rückerstattung der gezahlten Beiträge</t>
  </si>
  <si>
    <t>- 13. bis 24. Monat - 1/3 der Versicherungssumme</t>
  </si>
  <si>
    <t>- 25. bis 36. Monat - 2/3 der Versicherungssumme</t>
  </si>
  <si>
    <t>Monatsbeitrag =</t>
  </si>
  <si>
    <t>= Auswertung 1</t>
  </si>
  <si>
    <t>= Auswertungsfelder 1</t>
  </si>
  <si>
    <t>= Auswertung 2</t>
  </si>
  <si>
    <t>Dieser Wert ist nur informatorisch da die Jahresbeiträge der rabattierten</t>
  </si>
  <si>
    <t>Versicherungen nicht durch 12 teilbar sein müssen.</t>
  </si>
  <si>
    <t>Tarifbeitrag</t>
  </si>
  <si>
    <t>Zahlbeitrag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</si>
</sst>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General\ "/>
    <numFmt numFmtId="165" formatCode="#,##0.00\ ;&quot; (&quot;#,##0.00\);&quot; -&quot;#\ ;@\ "/>
    <numFmt numFmtId="166" formatCode="#,##0\ ;&quot; (&quot;#,##0\);&quot; -&quot;#\ ;@\ "/>
    <numFmt numFmtId="167" formatCode="dd/\ mm/yyyy"/>
    <numFmt numFmtId="168" formatCode="#,##0.00&quot; DM&quot;"/>
    <numFmt numFmtId="169" formatCode="d/\ mmm"/>
    <numFmt numFmtId="170" formatCode="#,##0.00\ ;\-#,##0.00\ ;&quot;&quot;;&quot;&quot;"/>
    <numFmt numFmtId="171" formatCode="0.00\ "/>
    <numFmt numFmtId="172" formatCode="#,##0.00\ [$€-401]"/>
    <numFmt numFmtId="173" formatCode="0.000000"/>
    <numFmt numFmtId="174" formatCode="00000"/>
    <numFmt numFmtId="175" formatCode="&quot; $&quot;#,##0.00\ ;&quot; $(&quot;#,##0.00\);&quot; $-&quot;#\ ;@\ "/>
    <numFmt numFmtId="176" formatCode="0.0000000"/>
    <numFmt numFmtId="177" formatCode="0.0000"/>
    <numFmt numFmtId="178" formatCode="0.00000000"/>
    <numFmt numFmtId="179" formatCode="#,##0\ &quot;€&quot;"/>
  </numFmts>
  <fonts count="26">
    <font>
      <sz val="10"/>
      <name val="Arial"/>
      <family val="2"/>
    </font>
    <font>
      <sz val="10"/>
      <name val="Courier New"/>
      <family val="3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name val="MS Sans Serif"/>
      <family val="2"/>
    </font>
    <font>
      <b/>
      <sz val="10"/>
      <color indexed="9"/>
      <name val="Arial"/>
      <family val="2"/>
    </font>
    <font>
      <sz val="10"/>
      <name val="MS Sans Serif"/>
      <family val="2"/>
    </font>
    <font>
      <sz val="10"/>
      <color indexed="9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sz val="10"/>
      <name val="Lucida Sans"/>
      <family val="2"/>
    </font>
    <font>
      <sz val="10"/>
      <name val="Lucida"/>
      <family val="2"/>
    </font>
    <font>
      <b/>
      <sz val="10"/>
      <name val="Arial Narrow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vertAlign val="superscript"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double">
        <color indexed="8"/>
      </left>
      <right style="medium">
        <color indexed="9"/>
      </right>
      <top style="thin">
        <color indexed="22"/>
      </top>
      <bottom style="thin">
        <color indexed="22"/>
      </bottom>
      <diagonal/>
    </border>
    <border>
      <left style="medium">
        <color indexed="9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12"/>
      </top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20"/>
      </left>
      <right/>
      <top style="medium">
        <color indexed="20"/>
      </top>
      <bottom/>
      <diagonal/>
    </border>
    <border>
      <left/>
      <right/>
      <top style="medium">
        <color indexed="20"/>
      </top>
      <bottom/>
      <diagonal/>
    </border>
    <border>
      <left/>
      <right style="medium">
        <color indexed="20"/>
      </right>
      <top style="medium">
        <color indexed="20"/>
      </top>
      <bottom/>
      <diagonal/>
    </border>
    <border>
      <left style="medium">
        <color indexed="20"/>
      </left>
      <right/>
      <top/>
      <bottom/>
      <diagonal/>
    </border>
    <border>
      <left/>
      <right style="medium">
        <color indexed="20"/>
      </right>
      <top/>
      <bottom/>
      <diagonal/>
    </border>
    <border>
      <left style="medium">
        <color indexed="20"/>
      </left>
      <right/>
      <top/>
      <bottom style="medium">
        <color indexed="20"/>
      </bottom>
      <diagonal/>
    </border>
    <border>
      <left/>
      <right/>
      <top/>
      <bottom style="medium">
        <color indexed="20"/>
      </bottom>
      <diagonal/>
    </border>
    <border>
      <left/>
      <right style="medium">
        <color indexed="20"/>
      </right>
      <top/>
      <bottom style="medium">
        <color indexed="20"/>
      </bottom>
      <diagonal/>
    </border>
    <border>
      <left/>
      <right style="medium">
        <color rgb="FF800080"/>
      </right>
      <top/>
      <bottom/>
      <diagonal/>
    </border>
  </borders>
  <cellStyleXfs count="5">
    <xf numFmtId="0" fontId="0" fillId="0" borderId="0"/>
    <xf numFmtId="165" fontId="14" fillId="0" borderId="0" applyFill="0" applyBorder="0" applyAlignment="0" applyProtection="0"/>
    <xf numFmtId="9" fontId="14" fillId="0" borderId="0" applyFill="0" applyBorder="0" applyAlignment="0" applyProtection="0"/>
    <xf numFmtId="164" fontId="1" fillId="0" borderId="0"/>
    <xf numFmtId="175" fontId="14" fillId="0" borderId="0" applyFill="0" applyBorder="0" applyAlignment="0" applyProtection="0"/>
  </cellStyleXfs>
  <cellXfs count="35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1" fontId="3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hidden="1"/>
    </xf>
    <xf numFmtId="166" fontId="4" fillId="2" borderId="1" xfId="1" applyNumberFormat="1" applyFont="1" applyFill="1" applyBorder="1" applyAlignment="1" applyProtection="1">
      <alignment horizontal="right"/>
      <protection hidden="1"/>
    </xf>
    <xf numFmtId="164" fontId="5" fillId="3" borderId="2" xfId="3" applyFont="1" applyFill="1" applyBorder="1" applyAlignment="1" applyProtection="1">
      <alignment horizontal="center"/>
      <protection hidden="1"/>
    </xf>
    <xf numFmtId="166" fontId="6" fillId="2" borderId="3" xfId="1" applyNumberFormat="1" applyFont="1" applyFill="1" applyBorder="1" applyAlignment="1" applyProtection="1">
      <alignment horizontal="right"/>
      <protection hidden="1"/>
    </xf>
    <xf numFmtId="166" fontId="6" fillId="2" borderId="0" xfId="1" applyNumberFormat="1" applyFont="1" applyFill="1" applyBorder="1" applyAlignment="1" applyProtection="1">
      <alignment horizontal="right"/>
      <protection hidden="1"/>
    </xf>
    <xf numFmtId="0" fontId="0" fillId="4" borderId="0" xfId="0" applyFill="1" applyProtection="1">
      <protection hidden="1"/>
    </xf>
    <xf numFmtId="0" fontId="0" fillId="4" borderId="0" xfId="0" applyFont="1" applyFill="1" applyBorder="1" applyProtection="1">
      <protection hidden="1"/>
    </xf>
    <xf numFmtId="0" fontId="0" fillId="4" borderId="0" xfId="0" applyFill="1" applyBorder="1" applyAlignment="1" applyProtection="1">
      <alignment horizontal="left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0" xfId="0" applyFill="1" applyBorder="1" applyProtection="1">
      <protection hidden="1"/>
    </xf>
    <xf numFmtId="0" fontId="0" fillId="4" borderId="0" xfId="0" applyFill="1" applyBorder="1" applyAlignment="1" applyProtection="1">
      <alignment horizontal="right"/>
      <protection hidden="1"/>
    </xf>
    <xf numFmtId="166" fontId="6" fillId="2" borderId="4" xfId="1" applyNumberFormat="1" applyFont="1" applyFill="1" applyBorder="1" applyAlignment="1" applyProtection="1">
      <alignment horizontal="right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0" fillId="0" borderId="5" xfId="0" applyFont="1" applyBorder="1" applyAlignment="1" applyProtection="1">
      <alignment horizontal="left"/>
      <protection hidden="1"/>
    </xf>
    <xf numFmtId="166" fontId="6" fillId="2" borderId="3" xfId="1" applyNumberFormat="1" applyFont="1" applyFill="1" applyBorder="1" applyAlignment="1" applyProtection="1">
      <alignment horizontal="center"/>
      <protection hidden="1"/>
    </xf>
    <xf numFmtId="0" fontId="0" fillId="4" borderId="6" xfId="0" applyFont="1" applyFill="1" applyBorder="1" applyProtection="1">
      <protection hidden="1"/>
    </xf>
    <xf numFmtId="0" fontId="0" fillId="4" borderId="6" xfId="0" applyFill="1" applyBorder="1" applyAlignment="1" applyProtection="1">
      <alignment horizontal="left"/>
      <protection hidden="1"/>
    </xf>
    <xf numFmtId="0" fontId="0" fillId="4" borderId="6" xfId="0" applyFill="1" applyBorder="1" applyAlignment="1" applyProtection="1">
      <alignment horizontal="center"/>
      <protection hidden="1"/>
    </xf>
    <xf numFmtId="0" fontId="0" fillId="4" borderId="6" xfId="0" applyFill="1" applyBorder="1" applyProtection="1">
      <protection hidden="1"/>
    </xf>
    <xf numFmtId="0" fontId="0" fillId="4" borderId="6" xfId="0" applyFill="1" applyBorder="1" applyAlignment="1" applyProtection="1">
      <alignment horizontal="right"/>
      <protection hidden="1"/>
    </xf>
    <xf numFmtId="0" fontId="0" fillId="0" borderId="7" xfId="0" applyBorder="1" applyProtection="1">
      <protection hidden="1"/>
    </xf>
    <xf numFmtId="166" fontId="6" fillId="2" borderId="0" xfId="1" applyNumberFormat="1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left"/>
      <protection hidden="1"/>
    </xf>
    <xf numFmtId="0" fontId="0" fillId="4" borderId="0" xfId="0" applyFill="1" applyAlignment="1" applyProtection="1">
      <alignment horizontal="center"/>
      <protection hidden="1"/>
    </xf>
    <xf numFmtId="1" fontId="3" fillId="0" borderId="0" xfId="0" applyNumberFormat="1" applyFont="1" applyBorder="1" applyAlignment="1" applyProtection="1">
      <alignment horizontal="left"/>
      <protection locked="0"/>
    </xf>
    <xf numFmtId="164" fontId="7" fillId="3" borderId="2" xfId="3" applyFont="1" applyFill="1" applyBorder="1" applyAlignment="1" applyProtection="1">
      <alignment horizontal="left"/>
      <protection hidden="1"/>
    </xf>
    <xf numFmtId="164" fontId="7" fillId="3" borderId="0" xfId="3" applyFont="1" applyFill="1" applyAlignment="1" applyProtection="1">
      <alignment horizontal="center"/>
      <protection hidden="1"/>
    </xf>
    <xf numFmtId="164" fontId="2" fillId="4" borderId="0" xfId="0" applyNumberFormat="1" applyFont="1" applyFill="1" applyAlignment="1" applyProtection="1">
      <alignment horizontal="right"/>
      <protection hidden="1"/>
    </xf>
    <xf numFmtId="164" fontId="2" fillId="4" borderId="0" xfId="0" applyNumberFormat="1" applyFont="1" applyFill="1" applyAlignment="1" applyProtection="1">
      <protection hidden="1"/>
    </xf>
    <xf numFmtId="0" fontId="0" fillId="0" borderId="5" xfId="0" applyBorder="1" applyProtection="1">
      <protection hidden="1"/>
    </xf>
    <xf numFmtId="0" fontId="0" fillId="4" borderId="0" xfId="0" applyFill="1" applyAlignment="1" applyProtection="1">
      <alignment horizontal="right"/>
      <protection hidden="1"/>
    </xf>
    <xf numFmtId="14" fontId="0" fillId="4" borderId="0" xfId="0" applyNumberFormat="1" applyFill="1" applyBorder="1" applyProtection="1">
      <protection hidden="1"/>
    </xf>
    <xf numFmtId="1" fontId="2" fillId="0" borderId="0" xfId="0" applyNumberFormat="1" applyFont="1" applyBorder="1" applyAlignment="1" applyProtection="1">
      <alignment horizontal="center"/>
      <protection hidden="1"/>
    </xf>
    <xf numFmtId="166" fontId="4" fillId="2" borderId="4" xfId="1" applyNumberFormat="1" applyFont="1" applyFill="1" applyBorder="1" applyAlignment="1" applyProtection="1">
      <alignment horizontal="right"/>
      <protection hidden="1"/>
    </xf>
    <xf numFmtId="164" fontId="7" fillId="3" borderId="2" xfId="3" applyFont="1" applyFill="1" applyBorder="1" applyAlignment="1" applyProtection="1">
      <alignment horizontal="right"/>
      <protection hidden="1"/>
    </xf>
    <xf numFmtId="164" fontId="7" fillId="3" borderId="0" xfId="3" applyFont="1" applyFill="1" applyAlignment="1" applyProtection="1">
      <alignment horizontal="right"/>
      <protection hidden="1"/>
    </xf>
    <xf numFmtId="1" fontId="2" fillId="4" borderId="0" xfId="0" applyNumberFormat="1" applyFont="1" applyFill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left"/>
      <protection hidden="1"/>
    </xf>
    <xf numFmtId="167" fontId="0" fillId="4" borderId="0" xfId="0" applyNumberFormat="1" applyFill="1" applyBorder="1" applyProtection="1">
      <protection hidden="1"/>
    </xf>
    <xf numFmtId="2" fontId="2" fillId="4" borderId="0" xfId="0" applyNumberFormat="1" applyFont="1" applyFill="1" applyProtection="1">
      <protection hidden="1"/>
    </xf>
    <xf numFmtId="0" fontId="2" fillId="4" borderId="0" xfId="0" applyFont="1" applyFill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68" fontId="0" fillId="4" borderId="0" xfId="0" applyNumberFormat="1" applyFill="1" applyAlignment="1" applyProtection="1">
      <alignment horizontal="center"/>
      <protection hidden="1"/>
    </xf>
    <xf numFmtId="0" fontId="0" fillId="0" borderId="8" xfId="0" applyFont="1" applyBorder="1" applyAlignment="1" applyProtection="1">
      <alignment horizontal="right"/>
      <protection hidden="1"/>
    </xf>
    <xf numFmtId="1" fontId="3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right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1" fontId="8" fillId="0" borderId="9" xfId="0" applyNumberFormat="1" applyFont="1" applyBorder="1" applyAlignment="1" applyProtection="1">
      <alignment horizontal="left"/>
      <protection hidden="1"/>
    </xf>
    <xf numFmtId="2" fontId="0" fillId="0" borderId="5" xfId="0" applyNumberFormat="1" applyBorder="1" applyProtection="1">
      <protection hidden="1"/>
    </xf>
    <xf numFmtId="166" fontId="8" fillId="2" borderId="4" xfId="1" applyNumberFormat="1" applyFont="1" applyFill="1" applyBorder="1" applyAlignment="1" applyProtection="1">
      <alignment horizontal="right"/>
      <protection hidden="1"/>
    </xf>
    <xf numFmtId="1" fontId="0" fillId="4" borderId="0" xfId="0" applyNumberFormat="1" applyFill="1" applyAlignment="1" applyProtection="1">
      <alignment horizontal="center"/>
      <protection hidden="1"/>
    </xf>
    <xf numFmtId="0" fontId="0" fillId="0" borderId="10" xfId="0" applyBorder="1" applyAlignment="1" applyProtection="1">
      <alignment horizontal="right"/>
      <protection hidden="1"/>
    </xf>
    <xf numFmtId="1" fontId="2" fillId="0" borderId="11" xfId="0" applyNumberFormat="1" applyFont="1" applyBorder="1" applyAlignment="1" applyProtection="1">
      <alignment horizontal="center"/>
      <protection hidden="1"/>
    </xf>
    <xf numFmtId="1" fontId="0" fillId="4" borderId="0" xfId="0" applyNumberFormat="1" applyFill="1" applyAlignment="1" applyProtection="1">
      <alignment horizontal="left"/>
      <protection hidden="1"/>
    </xf>
    <xf numFmtId="0" fontId="0" fillId="0" borderId="10" xfId="0" applyBorder="1" applyProtection="1">
      <protection hidden="1"/>
    </xf>
    <xf numFmtId="0" fontId="9" fillId="0" borderId="0" xfId="0" applyFont="1" applyBorder="1" applyProtection="1">
      <protection hidden="1"/>
    </xf>
    <xf numFmtId="0" fontId="0" fillId="0" borderId="11" xfId="0" applyBorder="1" applyProtection="1">
      <protection hidden="1"/>
    </xf>
    <xf numFmtId="0" fontId="0" fillId="4" borderId="12" xfId="0" applyFill="1" applyBorder="1" applyAlignment="1" applyProtection="1">
      <alignment horizontal="right"/>
      <protection hidden="1"/>
    </xf>
    <xf numFmtId="0" fontId="0" fillId="4" borderId="13" xfId="0" applyFill="1" applyBorder="1" applyAlignment="1" applyProtection="1">
      <alignment horizontal="right"/>
      <protection hidden="1"/>
    </xf>
    <xf numFmtId="0" fontId="0" fillId="4" borderId="14" xfId="0" applyFill="1" applyBorder="1" applyAlignment="1" applyProtection="1">
      <alignment horizontal="center"/>
      <protection hidden="1"/>
    </xf>
    <xf numFmtId="0" fontId="0" fillId="4" borderId="14" xfId="0" applyFill="1" applyBorder="1" applyAlignment="1" applyProtection="1">
      <alignment horizontal="right"/>
      <protection hidden="1"/>
    </xf>
    <xf numFmtId="0" fontId="0" fillId="4" borderId="13" xfId="0" applyFont="1" applyFill="1" applyBorder="1" applyAlignment="1" applyProtection="1">
      <alignment horizontal="right"/>
      <protection hidden="1"/>
    </xf>
    <xf numFmtId="0" fontId="0" fillId="4" borderId="13" xfId="0" applyFont="1" applyFill="1" applyBorder="1" applyProtection="1">
      <protection hidden="1"/>
    </xf>
    <xf numFmtId="0" fontId="0" fillId="4" borderId="15" xfId="0" applyFill="1" applyBorder="1" applyProtection="1">
      <protection hidden="1"/>
    </xf>
    <xf numFmtId="0" fontId="0" fillId="0" borderId="11" xfId="0" applyFont="1" applyBorder="1" applyAlignment="1" applyProtection="1">
      <alignment horizontal="left"/>
      <protection hidden="1"/>
    </xf>
    <xf numFmtId="2" fontId="7" fillId="3" borderId="2" xfId="3" applyNumberFormat="1" applyFont="1" applyFill="1" applyBorder="1" applyAlignment="1" applyProtection="1">
      <alignment horizontal="right"/>
      <protection hidden="1"/>
    </xf>
    <xf numFmtId="2" fontId="7" fillId="3" borderId="0" xfId="3" applyNumberFormat="1" applyFont="1" applyFill="1" applyBorder="1" applyAlignment="1" applyProtection="1">
      <alignment horizontal="right"/>
      <protection hidden="1"/>
    </xf>
    <xf numFmtId="0" fontId="0" fillId="4" borderId="16" xfId="0" applyFont="1" applyFill="1" applyBorder="1" applyAlignment="1" applyProtection="1">
      <alignment horizontal="center"/>
      <protection hidden="1"/>
    </xf>
    <xf numFmtId="0" fontId="0" fillId="4" borderId="17" xfId="0" applyFill="1" applyBorder="1" applyAlignment="1" applyProtection="1">
      <alignment horizontal="center"/>
      <protection hidden="1"/>
    </xf>
    <xf numFmtId="0" fontId="0" fillId="4" borderId="17" xfId="0" applyFont="1" applyFill="1" applyBorder="1" applyAlignment="1" applyProtection="1">
      <alignment horizontal="right"/>
      <protection hidden="1"/>
    </xf>
    <xf numFmtId="0" fontId="0" fillId="4" borderId="0" xfId="0" applyFont="1" applyFill="1" applyBorder="1" applyAlignment="1" applyProtection="1">
      <alignment horizontal="right"/>
      <protection hidden="1"/>
    </xf>
    <xf numFmtId="0" fontId="0" fillId="4" borderId="5" xfId="0" applyFont="1" applyFill="1" applyBorder="1" applyAlignment="1" applyProtection="1">
      <alignment horizontal="right"/>
      <protection hidden="1"/>
    </xf>
    <xf numFmtId="2" fontId="3" fillId="0" borderId="0" xfId="0" applyNumberFormat="1" applyFont="1" applyBorder="1" applyAlignment="1" applyProtection="1">
      <alignment horizontal="right"/>
      <protection locked="0"/>
    </xf>
    <xf numFmtId="0" fontId="0" fillId="4" borderId="16" xfId="0" applyFill="1" applyBorder="1" applyProtection="1">
      <protection hidden="1"/>
    </xf>
    <xf numFmtId="0" fontId="2" fillId="0" borderId="10" xfId="0" applyFont="1" applyBorder="1" applyAlignment="1" applyProtection="1">
      <alignment horizontal="center"/>
      <protection hidden="1"/>
    </xf>
    <xf numFmtId="2" fontId="2" fillId="0" borderId="0" xfId="0" applyNumberFormat="1" applyFont="1" applyBorder="1" applyProtection="1">
      <protection hidden="1"/>
    </xf>
    <xf numFmtId="169" fontId="0" fillId="4" borderId="16" xfId="0" applyNumberFormat="1" applyFill="1" applyBorder="1" applyProtection="1">
      <protection hidden="1"/>
    </xf>
    <xf numFmtId="169" fontId="0" fillId="4" borderId="0" xfId="0" applyNumberFormat="1" applyFill="1" applyBorder="1" applyAlignment="1" applyProtection="1">
      <alignment horizontal="center"/>
      <protection hidden="1"/>
    </xf>
    <xf numFmtId="169" fontId="0" fillId="4" borderId="0" xfId="0" applyNumberFormat="1" applyFill="1" applyBorder="1" applyAlignment="1" applyProtection="1">
      <alignment horizontal="right"/>
      <protection hidden="1"/>
    </xf>
    <xf numFmtId="169" fontId="0" fillId="4" borderId="17" xfId="0" applyNumberFormat="1" applyFill="1" applyBorder="1" applyAlignment="1" applyProtection="1">
      <alignment horizontal="center"/>
      <protection hidden="1"/>
    </xf>
    <xf numFmtId="169" fontId="0" fillId="4" borderId="17" xfId="0" applyNumberFormat="1" applyFill="1" applyBorder="1" applyProtection="1">
      <protection hidden="1"/>
    </xf>
    <xf numFmtId="169" fontId="0" fillId="0" borderId="0" xfId="0" applyNumberFormat="1" applyProtection="1">
      <protection hidden="1"/>
    </xf>
    <xf numFmtId="169" fontId="0" fillId="4" borderId="0" xfId="0" applyNumberFormat="1" applyFill="1" applyBorder="1" applyProtection="1">
      <protection hidden="1"/>
    </xf>
    <xf numFmtId="10" fontId="0" fillId="4" borderId="5" xfId="0" applyNumberFormat="1" applyFont="1" applyFill="1" applyBorder="1" applyAlignment="1" applyProtection="1">
      <alignment horizontal="right"/>
      <protection hidden="1"/>
    </xf>
    <xf numFmtId="167" fontId="2" fillId="0" borderId="10" xfId="0" applyNumberFormat="1" applyFont="1" applyBorder="1" applyAlignment="1" applyProtection="1">
      <alignment horizontal="center"/>
      <protection hidden="1"/>
    </xf>
    <xf numFmtId="0" fontId="0" fillId="4" borderId="18" xfId="0" applyFill="1" applyBorder="1" applyProtection="1">
      <protection hidden="1"/>
    </xf>
    <xf numFmtId="0" fontId="0" fillId="4" borderId="19" xfId="0" applyFill="1" applyBorder="1" applyAlignment="1" applyProtection="1">
      <alignment horizontal="center"/>
      <protection hidden="1"/>
    </xf>
    <xf numFmtId="0" fontId="0" fillId="4" borderId="19" xfId="0" applyFill="1" applyBorder="1" applyAlignment="1" applyProtection="1">
      <alignment horizontal="right"/>
      <protection hidden="1"/>
    </xf>
    <xf numFmtId="0" fontId="0" fillId="4" borderId="20" xfId="0" applyFill="1" applyBorder="1" applyAlignment="1" applyProtection="1">
      <alignment horizontal="center"/>
      <protection hidden="1"/>
    </xf>
    <xf numFmtId="0" fontId="0" fillId="4" borderId="19" xfId="0" applyFill="1" applyBorder="1" applyProtection="1">
      <protection hidden="1"/>
    </xf>
    <xf numFmtId="0" fontId="0" fillId="4" borderId="20" xfId="0" applyFill="1" applyBorder="1" applyProtection="1">
      <protection hidden="1"/>
    </xf>
    <xf numFmtId="170" fontId="0" fillId="4" borderId="21" xfId="0" applyNumberFormat="1" applyFill="1" applyBorder="1" applyProtection="1">
      <protection hidden="1"/>
    </xf>
    <xf numFmtId="10" fontId="0" fillId="4" borderId="0" xfId="0" applyNumberFormat="1" applyFont="1" applyFill="1" applyBorder="1" applyAlignment="1" applyProtection="1">
      <alignment horizontal="right"/>
      <protection hidden="1"/>
    </xf>
    <xf numFmtId="164" fontId="0" fillId="4" borderId="12" xfId="0" applyNumberFormat="1" applyFill="1" applyBorder="1" applyProtection="1">
      <protection hidden="1"/>
    </xf>
    <xf numFmtId="164" fontId="0" fillId="4" borderId="22" xfId="0" applyNumberFormat="1" applyFill="1" applyBorder="1" applyAlignment="1" applyProtection="1">
      <alignment horizontal="center"/>
      <protection hidden="1"/>
    </xf>
    <xf numFmtId="1" fontId="0" fillId="4" borderId="23" xfId="0" applyNumberFormat="1" applyFill="1" applyBorder="1" applyProtection="1">
      <protection hidden="1"/>
    </xf>
    <xf numFmtId="164" fontId="0" fillId="4" borderId="23" xfId="0" applyNumberFormat="1" applyFill="1" applyBorder="1" applyAlignment="1" applyProtection="1">
      <alignment horizontal="left"/>
      <protection hidden="1"/>
    </xf>
    <xf numFmtId="170" fontId="0" fillId="4" borderId="22" xfId="0" applyNumberFormat="1" applyFill="1" applyBorder="1" applyProtection="1">
      <protection hidden="1"/>
    </xf>
    <xf numFmtId="170" fontId="0" fillId="4" borderId="23" xfId="0" applyNumberFormat="1" applyFill="1" applyBorder="1" applyProtection="1">
      <protection hidden="1"/>
    </xf>
    <xf numFmtId="170" fontId="0" fillId="4" borderId="5" xfId="0" applyNumberFormat="1" applyFill="1" applyBorder="1" applyProtection="1">
      <protection hidden="1"/>
    </xf>
    <xf numFmtId="170" fontId="0" fillId="4" borderId="0" xfId="0" applyNumberFormat="1" applyFill="1" applyBorder="1" applyProtection="1">
      <protection hidden="1"/>
    </xf>
    <xf numFmtId="164" fontId="0" fillId="4" borderId="24" xfId="0" applyNumberFormat="1" applyFill="1" applyBorder="1" applyProtection="1">
      <protection hidden="1"/>
    </xf>
    <xf numFmtId="164" fontId="0" fillId="4" borderId="22" xfId="0" applyNumberFormat="1" applyFill="1" applyBorder="1" applyAlignment="1" applyProtection="1">
      <alignment horizontal="right"/>
      <protection hidden="1"/>
    </xf>
    <xf numFmtId="170" fontId="0" fillId="4" borderId="25" xfId="0" applyNumberFormat="1" applyFill="1" applyBorder="1" applyProtection="1">
      <protection hidden="1"/>
    </xf>
    <xf numFmtId="164" fontId="0" fillId="4" borderId="16" xfId="0" applyNumberFormat="1" applyFill="1" applyBorder="1" applyProtection="1">
      <protection hidden="1"/>
    </xf>
    <xf numFmtId="164" fontId="0" fillId="4" borderId="0" xfId="0" applyNumberFormat="1" applyFill="1" applyBorder="1" applyAlignment="1" applyProtection="1">
      <alignment horizontal="center"/>
      <protection hidden="1"/>
    </xf>
    <xf numFmtId="164" fontId="0" fillId="4" borderId="0" xfId="0" applyNumberFormat="1" applyFill="1" applyBorder="1" applyAlignment="1" applyProtection="1">
      <alignment horizontal="right"/>
      <protection hidden="1"/>
    </xf>
    <xf numFmtId="164" fontId="0" fillId="4" borderId="17" xfId="0" applyNumberFormat="1" applyFill="1" applyBorder="1" applyAlignment="1" applyProtection="1">
      <alignment horizontal="left"/>
      <protection hidden="1"/>
    </xf>
    <xf numFmtId="0" fontId="0" fillId="0" borderId="26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27" xfId="0" applyFont="1" applyBorder="1" applyAlignment="1" applyProtection="1">
      <alignment horizontal="right"/>
      <protection hidden="1"/>
    </xf>
    <xf numFmtId="171" fontId="3" fillId="0" borderId="27" xfId="0" applyNumberFormat="1" applyFont="1" applyBorder="1" applyAlignment="1" applyProtection="1">
      <alignment horizontal="right"/>
      <protection locked="0"/>
    </xf>
    <xf numFmtId="0" fontId="0" fillId="0" borderId="28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center"/>
      <protection hidden="1"/>
    </xf>
    <xf numFmtId="10" fontId="3" fillId="0" borderId="7" xfId="2" applyNumberFormat="1" applyFont="1" applyFill="1" applyBorder="1" applyAlignment="1" applyProtection="1">
      <alignment horizontal="right"/>
      <protection locked="0"/>
    </xf>
    <xf numFmtId="0" fontId="0" fillId="0" borderId="9" xfId="0" applyBorder="1" applyProtection="1">
      <protection hidden="1"/>
    </xf>
    <xf numFmtId="10" fontId="3" fillId="0" borderId="0" xfId="2" applyNumberFormat="1" applyFont="1" applyFill="1" applyBorder="1" applyAlignment="1" applyProtection="1">
      <alignment horizontal="right"/>
      <protection locked="0"/>
    </xf>
    <xf numFmtId="2" fontId="2" fillId="0" borderId="27" xfId="0" applyNumberFormat="1" applyFont="1" applyBorder="1" applyProtection="1">
      <protection hidden="1"/>
    </xf>
    <xf numFmtId="166" fontId="6" fillId="2" borderId="29" xfId="1" applyNumberFormat="1" applyFont="1" applyFill="1" applyBorder="1" applyAlignment="1" applyProtection="1">
      <alignment horizontal="right"/>
      <protection hidden="1"/>
    </xf>
    <xf numFmtId="166" fontId="6" fillId="2" borderId="30" xfId="1" applyNumberFormat="1" applyFont="1" applyFill="1" applyBorder="1" applyAlignment="1" applyProtection="1">
      <alignment horizontal="right"/>
      <protection hidden="1"/>
    </xf>
    <xf numFmtId="0" fontId="0" fillId="0" borderId="31" xfId="0" applyBorder="1" applyProtection="1">
      <protection hidden="1"/>
    </xf>
    <xf numFmtId="164" fontId="0" fillId="4" borderId="18" xfId="0" applyNumberFormat="1" applyFill="1" applyBorder="1" applyProtection="1">
      <protection hidden="1"/>
    </xf>
    <xf numFmtId="164" fontId="0" fillId="4" borderId="19" xfId="0" applyNumberFormat="1" applyFill="1" applyBorder="1" applyAlignment="1" applyProtection="1">
      <alignment horizontal="center"/>
      <protection hidden="1"/>
    </xf>
    <xf numFmtId="164" fontId="0" fillId="4" borderId="19" xfId="0" applyNumberFormat="1" applyFill="1" applyBorder="1" applyAlignment="1" applyProtection="1">
      <alignment horizontal="right"/>
      <protection hidden="1"/>
    </xf>
    <xf numFmtId="164" fontId="0" fillId="4" borderId="20" xfId="0" applyNumberFormat="1" applyFill="1" applyBorder="1" applyAlignment="1" applyProtection="1">
      <alignment horizontal="left"/>
      <protection hidden="1"/>
    </xf>
    <xf numFmtId="170" fontId="0" fillId="4" borderId="19" xfId="0" applyNumberFormat="1" applyFill="1" applyBorder="1" applyProtection="1">
      <protection hidden="1"/>
    </xf>
    <xf numFmtId="166" fontId="6" fillId="2" borderId="3" xfId="1" applyNumberFormat="1" applyFont="1" applyFill="1" applyBorder="1" applyAlignment="1" applyProtection="1">
      <alignment horizontal="left"/>
      <protection hidden="1"/>
    </xf>
    <xf numFmtId="170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73" fontId="0" fillId="0" borderId="0" xfId="0" applyNumberFormat="1" applyAlignment="1" applyProtection="1">
      <alignment horizontal="right"/>
      <protection hidden="1"/>
    </xf>
    <xf numFmtId="2" fontId="0" fillId="0" borderId="0" xfId="0" applyNumberFormat="1" applyAlignment="1" applyProtection="1">
      <alignment horizontal="right"/>
      <protection hidden="1"/>
    </xf>
    <xf numFmtId="173" fontId="0" fillId="0" borderId="0" xfId="0" applyNumberFormat="1" applyProtection="1">
      <protection hidden="1"/>
    </xf>
    <xf numFmtId="174" fontId="0" fillId="0" borderId="0" xfId="0" applyNumberFormat="1" applyFont="1" applyAlignment="1" applyProtection="1">
      <alignment horizontal="center"/>
      <protection hidden="1"/>
    </xf>
    <xf numFmtId="174" fontId="0" fillId="0" borderId="0" xfId="0" applyNumberFormat="1" applyFont="1" applyAlignment="1" applyProtection="1">
      <alignment horizontal="right"/>
      <protection hidden="1"/>
    </xf>
    <xf numFmtId="10" fontId="0" fillId="0" borderId="0" xfId="2" applyNumberFormat="1" applyFont="1" applyFill="1" applyBorder="1" applyAlignment="1" applyProtection="1">
      <alignment horizontal="right"/>
      <protection hidden="1"/>
    </xf>
    <xf numFmtId="172" fontId="0" fillId="0" borderId="0" xfId="4" applyNumberFormat="1" applyFont="1" applyFill="1" applyBorder="1" applyAlignment="1" applyProtection="1">
      <alignment horizontal="left"/>
      <protection hidden="1"/>
    </xf>
    <xf numFmtId="173" fontId="0" fillId="0" borderId="0" xfId="4" applyNumberFormat="1" applyFont="1" applyFill="1" applyBorder="1" applyAlignment="1" applyProtection="1">
      <alignment horizontal="left"/>
      <protection hidden="1"/>
    </xf>
    <xf numFmtId="0" fontId="0" fillId="0" borderId="0" xfId="0" applyFont="1" applyAlignment="1" applyProtection="1">
      <alignment horizontal="right"/>
      <protection hidden="1"/>
    </xf>
    <xf numFmtId="10" fontId="0" fillId="0" borderId="0" xfId="2" applyNumberFormat="1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173" fontId="0" fillId="0" borderId="0" xfId="0" applyNumberFormat="1"/>
    <xf numFmtId="176" fontId="10" fillId="0" borderId="12" xfId="0" applyNumberFormat="1" applyFont="1" applyBorder="1" applyProtection="1">
      <protection locked="0"/>
    </xf>
    <xf numFmtId="176" fontId="10" fillId="0" borderId="13" xfId="0" applyNumberFormat="1" applyFont="1" applyBorder="1" applyProtection="1">
      <protection locked="0"/>
    </xf>
    <xf numFmtId="0" fontId="10" fillId="0" borderId="13" xfId="0" applyFont="1" applyBorder="1" applyProtection="1">
      <protection hidden="1"/>
    </xf>
    <xf numFmtId="176" fontId="10" fillId="0" borderId="0" xfId="0" applyNumberFormat="1" applyFont="1" applyBorder="1" applyProtection="1">
      <protection locked="0"/>
    </xf>
    <xf numFmtId="176" fontId="10" fillId="0" borderId="15" xfId="0" applyNumberFormat="1" applyFont="1" applyBorder="1" applyProtection="1">
      <protection locked="0"/>
    </xf>
    <xf numFmtId="1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Font="1" applyAlignment="1" applyProtection="1">
      <alignment horizontal="right"/>
      <protection hidden="1"/>
    </xf>
    <xf numFmtId="2" fontId="0" fillId="0" borderId="0" xfId="0" applyNumberFormat="1" applyAlignment="1" applyProtection="1">
      <alignment horizontal="left"/>
      <protection hidden="1"/>
    </xf>
    <xf numFmtId="173" fontId="0" fillId="0" borderId="0" xfId="0" applyNumberFormat="1" applyAlignment="1" applyProtection="1">
      <alignment horizontal="left"/>
      <protection hidden="1"/>
    </xf>
    <xf numFmtId="4" fontId="0" fillId="0" borderId="0" xfId="0" applyNumberFormat="1" applyBorder="1" applyAlignment="1" applyProtection="1">
      <alignment horizontal="right"/>
      <protection hidden="1"/>
    </xf>
    <xf numFmtId="176" fontId="10" fillId="0" borderId="16" xfId="0" applyNumberFormat="1" applyFont="1" applyBorder="1" applyProtection="1">
      <protection locked="0"/>
    </xf>
    <xf numFmtId="0" fontId="11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Protection="1">
      <protection hidden="1"/>
    </xf>
    <xf numFmtId="176" fontId="10" fillId="0" borderId="5" xfId="0" applyNumberFormat="1" applyFont="1" applyBorder="1" applyProtection="1">
      <protection locked="0"/>
    </xf>
    <xf numFmtId="177" fontId="0" fillId="0" borderId="0" xfId="0" applyNumberFormat="1" applyAlignment="1" applyProtection="1">
      <alignment horizontal="right"/>
      <protection hidden="1"/>
    </xf>
    <xf numFmtId="1" fontId="0" fillId="0" borderId="0" xfId="0" applyNumberFormat="1" applyAlignment="1" applyProtection="1">
      <alignment horizontal="right"/>
      <protection hidden="1"/>
    </xf>
    <xf numFmtId="10" fontId="10" fillId="0" borderId="0" xfId="0" applyNumberFormat="1" applyFont="1" applyBorder="1" applyProtection="1">
      <protection hidden="1"/>
    </xf>
    <xf numFmtId="0" fontId="0" fillId="4" borderId="32" xfId="0" applyFont="1" applyFill="1" applyBorder="1" applyAlignment="1" applyProtection="1">
      <alignment horizontal="center"/>
      <protection hidden="1"/>
    </xf>
    <xf numFmtId="173" fontId="0" fillId="4" borderId="32" xfId="0" applyNumberFormat="1" applyFont="1" applyFill="1" applyBorder="1" applyAlignment="1" applyProtection="1">
      <alignment horizontal="right"/>
      <protection hidden="1"/>
    </xf>
    <xf numFmtId="0" fontId="0" fillId="4" borderId="32" xfId="0" applyFont="1" applyFill="1" applyBorder="1" applyProtection="1">
      <protection hidden="1"/>
    </xf>
    <xf numFmtId="0" fontId="0" fillId="5" borderId="32" xfId="0" applyFont="1" applyFill="1" applyBorder="1" applyProtection="1">
      <protection hidden="1"/>
    </xf>
    <xf numFmtId="1" fontId="0" fillId="5" borderId="32" xfId="0" applyNumberFormat="1" applyFont="1" applyFill="1" applyBorder="1" applyAlignment="1" applyProtection="1">
      <alignment horizontal="right"/>
      <protection hidden="1"/>
    </xf>
    <xf numFmtId="2" fontId="0" fillId="4" borderId="32" xfId="0" applyNumberFormat="1" applyFont="1" applyFill="1" applyBorder="1" applyProtection="1">
      <protection hidden="1"/>
    </xf>
    <xf numFmtId="173" fontId="0" fillId="4" borderId="32" xfId="0" applyNumberFormat="1" applyFont="1" applyFill="1" applyBorder="1" applyProtection="1">
      <protection hidden="1"/>
    </xf>
    <xf numFmtId="2" fontId="2" fillId="4" borderId="33" xfId="0" applyNumberFormat="1" applyFont="1" applyFill="1" applyBorder="1" applyProtection="1">
      <protection hidden="1"/>
    </xf>
    <xf numFmtId="2" fontId="0" fillId="4" borderId="32" xfId="0" applyNumberFormat="1" applyFont="1" applyFill="1" applyBorder="1" applyAlignment="1" applyProtection="1">
      <alignment horizontal="right"/>
      <protection hidden="1"/>
    </xf>
    <xf numFmtId="2" fontId="2" fillId="4" borderId="32" xfId="0" applyNumberFormat="1" applyFont="1" applyFill="1" applyBorder="1" applyProtection="1">
      <protection hidden="1"/>
    </xf>
    <xf numFmtId="1" fontId="0" fillId="4" borderId="33" xfId="0" applyNumberFormat="1" applyFont="1" applyFill="1" applyBorder="1" applyAlignment="1" applyProtection="1">
      <alignment horizontal="center"/>
      <protection hidden="1"/>
    </xf>
    <xf numFmtId="0" fontId="0" fillId="4" borderId="33" xfId="0" applyFont="1" applyFill="1" applyBorder="1" applyProtection="1">
      <protection hidden="1"/>
    </xf>
    <xf numFmtId="2" fontId="0" fillId="4" borderId="33" xfId="0" applyNumberFormat="1" applyFont="1" applyFill="1" applyBorder="1" applyAlignment="1" applyProtection="1">
      <alignment horizontal="right"/>
      <protection hidden="1"/>
    </xf>
    <xf numFmtId="2" fontId="0" fillId="4" borderId="33" xfId="0" applyNumberFormat="1" applyFont="1" applyFill="1" applyBorder="1" applyProtection="1">
      <protection hidden="1"/>
    </xf>
    <xf numFmtId="173" fontId="0" fillId="4" borderId="33" xfId="0" applyNumberFormat="1" applyFont="1" applyFill="1" applyBorder="1" applyProtection="1">
      <protection hidden="1"/>
    </xf>
    <xf numFmtId="174" fontId="0" fillId="4" borderId="33" xfId="0" applyNumberFormat="1" applyFont="1" applyFill="1" applyBorder="1" applyAlignment="1" applyProtection="1">
      <alignment horizontal="right"/>
      <protection hidden="1"/>
    </xf>
    <xf numFmtId="1" fontId="0" fillId="4" borderId="33" xfId="0" applyNumberFormat="1" applyFont="1" applyFill="1" applyBorder="1" applyAlignment="1" applyProtection="1">
      <alignment horizontal="right"/>
      <protection hidden="1"/>
    </xf>
    <xf numFmtId="0" fontId="11" fillId="0" borderId="16" xfId="0" applyFont="1" applyBorder="1" applyProtection="1">
      <protection hidden="1"/>
    </xf>
    <xf numFmtId="1" fontId="0" fillId="6" borderId="13" xfId="0" applyNumberFormat="1" applyFont="1" applyFill="1" applyBorder="1" applyAlignment="1" applyProtection="1">
      <alignment horizontal="center"/>
      <protection hidden="1"/>
    </xf>
    <xf numFmtId="174" fontId="0" fillId="6" borderId="12" xfId="0" applyNumberFormat="1" applyFont="1" applyFill="1" applyBorder="1" applyAlignment="1" applyProtection="1">
      <alignment horizontal="right"/>
      <protection hidden="1"/>
    </xf>
    <xf numFmtId="0" fontId="0" fillId="6" borderId="13" xfId="0" applyFont="1" applyFill="1" applyBorder="1" applyAlignment="1" applyProtection="1">
      <alignment horizontal="right"/>
      <protection hidden="1"/>
    </xf>
    <xf numFmtId="174" fontId="0" fillId="6" borderId="13" xfId="0" applyNumberFormat="1" applyFont="1" applyFill="1" applyBorder="1" applyAlignment="1" applyProtection="1">
      <alignment horizontal="right"/>
      <protection hidden="1"/>
    </xf>
    <xf numFmtId="174" fontId="0" fillId="6" borderId="15" xfId="0" applyNumberFormat="1" applyFont="1" applyFill="1" applyBorder="1" applyAlignment="1" applyProtection="1">
      <alignment horizontal="right"/>
      <protection hidden="1"/>
    </xf>
    <xf numFmtId="2" fontId="0" fillId="6" borderId="13" xfId="0" applyNumberFormat="1" applyFont="1" applyFill="1" applyBorder="1" applyAlignment="1" applyProtection="1">
      <alignment horizontal="right"/>
      <protection hidden="1"/>
    </xf>
    <xf numFmtId="173" fontId="0" fillId="6" borderId="13" xfId="0" applyNumberFormat="1" applyFont="1" applyFill="1" applyBorder="1" applyAlignment="1" applyProtection="1">
      <alignment horizontal="right"/>
      <protection hidden="1"/>
    </xf>
    <xf numFmtId="2" fontId="0" fillId="6" borderId="15" xfId="0" applyNumberFormat="1" applyFont="1" applyFill="1" applyBorder="1" applyAlignment="1" applyProtection="1">
      <alignment horizontal="right"/>
      <protection hidden="1"/>
    </xf>
    <xf numFmtId="2" fontId="0" fillId="6" borderId="13" xfId="0" applyNumberFormat="1" applyFont="1" applyFill="1" applyBorder="1" applyAlignment="1" applyProtection="1">
      <alignment horizontal="center"/>
      <protection hidden="1"/>
    </xf>
    <xf numFmtId="2" fontId="2" fillId="6" borderId="13" xfId="0" applyNumberFormat="1" applyFont="1" applyFill="1" applyBorder="1" applyAlignment="1" applyProtection="1">
      <alignment horizontal="right"/>
      <protection hidden="1"/>
    </xf>
    <xf numFmtId="2" fontId="2" fillId="6" borderId="14" xfId="0" applyNumberFormat="1" applyFont="1" applyFill="1" applyBorder="1" applyAlignment="1" applyProtection="1">
      <alignment horizontal="right"/>
      <protection hidden="1"/>
    </xf>
    <xf numFmtId="2" fontId="8" fillId="6" borderId="13" xfId="0" applyNumberFormat="1" applyFont="1" applyFill="1" applyBorder="1" applyAlignment="1" applyProtection="1">
      <alignment horizontal="right"/>
      <protection hidden="1"/>
    </xf>
    <xf numFmtId="2" fontId="0" fillId="6" borderId="34" xfId="0" applyNumberFormat="1" applyFill="1" applyBorder="1" applyAlignment="1" applyProtection="1">
      <alignment horizontal="right"/>
      <protection hidden="1"/>
    </xf>
    <xf numFmtId="2" fontId="12" fillId="6" borderId="15" xfId="0" applyNumberFormat="1" applyFont="1" applyFill="1" applyBorder="1" applyAlignment="1" applyProtection="1">
      <alignment horizontal="right"/>
      <protection hidden="1"/>
    </xf>
    <xf numFmtId="0" fontId="13" fillId="0" borderId="16" xfId="0" applyFont="1" applyBorder="1" applyAlignment="1" applyProtection="1">
      <alignment horizontal="right"/>
      <protection hidden="1"/>
    </xf>
    <xf numFmtId="176" fontId="13" fillId="0" borderId="0" xfId="0" applyNumberFormat="1" applyFont="1" applyBorder="1" applyAlignment="1" applyProtection="1">
      <alignment horizontal="center"/>
      <protection hidden="1"/>
    </xf>
    <xf numFmtId="1" fontId="0" fillId="6" borderId="19" xfId="0" applyNumberFormat="1" applyFont="1" applyFill="1" applyBorder="1" applyAlignment="1" applyProtection="1">
      <alignment horizontal="center"/>
      <protection hidden="1"/>
    </xf>
    <xf numFmtId="173" fontId="0" fillId="6" borderId="18" xfId="0" applyNumberFormat="1" applyFill="1" applyBorder="1" applyAlignment="1" applyProtection="1">
      <alignment horizontal="right"/>
      <protection hidden="1"/>
    </xf>
    <xf numFmtId="173" fontId="0" fillId="6" borderId="19" xfId="0" applyNumberFormat="1" applyFill="1" applyBorder="1" applyAlignment="1" applyProtection="1">
      <alignment horizontal="right"/>
      <protection hidden="1"/>
    </xf>
    <xf numFmtId="4" fontId="0" fillId="6" borderId="19" xfId="0" applyNumberFormat="1" applyFill="1" applyBorder="1" applyAlignment="1" applyProtection="1">
      <alignment horizontal="right"/>
      <protection hidden="1"/>
    </xf>
    <xf numFmtId="2" fontId="0" fillId="6" borderId="19" xfId="0" applyNumberFormat="1" applyFill="1" applyBorder="1" applyAlignment="1" applyProtection="1">
      <alignment horizontal="right"/>
      <protection hidden="1"/>
    </xf>
    <xf numFmtId="2" fontId="0" fillId="6" borderId="21" xfId="0" applyNumberFormat="1" applyFill="1" applyBorder="1" applyProtection="1">
      <protection hidden="1"/>
    </xf>
    <xf numFmtId="2" fontId="2" fillId="6" borderId="21" xfId="0" applyNumberFormat="1" applyFont="1" applyFill="1" applyBorder="1" applyAlignment="1" applyProtection="1">
      <alignment horizontal="right"/>
      <protection hidden="1"/>
    </xf>
    <xf numFmtId="2" fontId="0" fillId="6" borderId="19" xfId="0" applyNumberFormat="1" applyFont="1" applyFill="1" applyBorder="1" applyAlignment="1" applyProtection="1">
      <alignment horizontal="center"/>
      <protection hidden="1"/>
    </xf>
    <xf numFmtId="2" fontId="9" fillId="6" borderId="19" xfId="0" applyNumberFormat="1" applyFont="1" applyFill="1" applyBorder="1" applyProtection="1">
      <protection hidden="1"/>
    </xf>
    <xf numFmtId="2" fontId="0" fillId="6" borderId="19" xfId="0" applyNumberFormat="1" applyFont="1" applyFill="1" applyBorder="1" applyProtection="1">
      <protection hidden="1"/>
    </xf>
    <xf numFmtId="2" fontId="0" fillId="6" borderId="20" xfId="0" applyNumberFormat="1" applyFont="1" applyFill="1" applyBorder="1" applyAlignment="1" applyProtection="1">
      <alignment horizontal="right"/>
      <protection hidden="1"/>
    </xf>
    <xf numFmtId="10" fontId="0" fillId="6" borderId="19" xfId="2" applyNumberFormat="1" applyFont="1" applyFill="1" applyBorder="1" applyAlignment="1" applyProtection="1">
      <alignment horizontal="right"/>
      <protection hidden="1"/>
    </xf>
    <xf numFmtId="2" fontId="8" fillId="6" borderId="19" xfId="0" applyNumberFormat="1" applyFont="1" applyFill="1" applyBorder="1" applyAlignment="1" applyProtection="1">
      <alignment horizontal="right"/>
      <protection hidden="1"/>
    </xf>
    <xf numFmtId="2" fontId="2" fillId="6" borderId="19" xfId="0" applyNumberFormat="1" applyFont="1" applyFill="1" applyBorder="1" applyAlignment="1" applyProtection="1">
      <alignment horizontal="right"/>
      <protection hidden="1"/>
    </xf>
    <xf numFmtId="2" fontId="0" fillId="6" borderId="35" xfId="0" applyNumberFormat="1" applyFont="1" applyFill="1" applyBorder="1" applyAlignment="1" applyProtection="1">
      <alignment horizontal="right"/>
      <protection hidden="1"/>
    </xf>
    <xf numFmtId="2" fontId="0" fillId="6" borderId="21" xfId="0" applyNumberFormat="1" applyFill="1" applyBorder="1" applyAlignment="1" applyProtection="1">
      <alignment horizontal="right"/>
      <protection hidden="1"/>
    </xf>
    <xf numFmtId="2" fontId="0" fillId="0" borderId="0" xfId="0" applyNumberFormat="1" applyBorder="1" applyAlignment="1" applyProtection="1">
      <alignment horizontal="right"/>
      <protection hidden="1"/>
    </xf>
    <xf numFmtId="173" fontId="0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2" fontId="2" fillId="0" borderId="5" xfId="0" applyNumberFormat="1" applyFont="1" applyBorder="1" applyProtection="1">
      <protection hidden="1"/>
    </xf>
    <xf numFmtId="2" fontId="2" fillId="0" borderId="17" xfId="0" applyNumberFormat="1" applyFont="1" applyBorder="1" applyProtection="1">
      <protection hidden="1"/>
    </xf>
    <xf numFmtId="2" fontId="0" fillId="0" borderId="0" xfId="0" applyNumberFormat="1" applyFont="1" applyProtection="1">
      <protection hidden="1"/>
    </xf>
    <xf numFmtId="2" fontId="2" fillId="0" borderId="0" xfId="0" applyNumberFormat="1" applyFont="1" applyProtection="1">
      <protection hidden="1"/>
    </xf>
    <xf numFmtId="2" fontId="0" fillId="0" borderId="36" xfId="0" applyNumberFormat="1" applyBorder="1" applyProtection="1">
      <protection hidden="1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alignment horizontal="center"/>
      <protection locked="0"/>
    </xf>
    <xf numFmtId="178" fontId="10" fillId="0" borderId="19" xfId="0" applyNumberFormat="1" applyFont="1" applyBorder="1" applyAlignment="1" applyProtection="1">
      <alignment horizontal="center"/>
      <protection hidden="1"/>
    </xf>
    <xf numFmtId="0" fontId="10" fillId="0" borderId="19" xfId="0" applyFont="1" applyBorder="1" applyProtection="1">
      <protection locked="0"/>
    </xf>
    <xf numFmtId="176" fontId="10" fillId="0" borderId="19" xfId="0" applyNumberFormat="1" applyFont="1" applyBorder="1" applyProtection="1">
      <protection locked="0"/>
    </xf>
    <xf numFmtId="176" fontId="10" fillId="0" borderId="21" xfId="0" applyNumberFormat="1" applyFont="1" applyBorder="1" applyProtection="1">
      <protection locked="0"/>
    </xf>
    <xf numFmtId="2" fontId="0" fillId="0" borderId="0" xfId="0" applyNumberFormat="1" applyBorder="1" applyProtection="1"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2" fontId="0" fillId="0" borderId="6" xfId="0" applyNumberFormat="1" applyBorder="1" applyAlignment="1" applyProtection="1">
      <alignment horizontal="right"/>
      <protection hidden="1"/>
    </xf>
    <xf numFmtId="2" fontId="0" fillId="0" borderId="37" xfId="0" applyNumberFormat="1" applyBorder="1" applyProtection="1">
      <protection hidden="1"/>
    </xf>
    <xf numFmtId="173" fontId="0" fillId="0" borderId="6" xfId="0" applyNumberFormat="1" applyBorder="1" applyProtection="1">
      <protection hidden="1"/>
    </xf>
    <xf numFmtId="2" fontId="2" fillId="0" borderId="38" xfId="0" applyNumberFormat="1" applyFont="1" applyBorder="1" applyProtection="1">
      <protection hidden="1"/>
    </xf>
    <xf numFmtId="2" fontId="0" fillId="0" borderId="6" xfId="0" applyNumberFormat="1" applyFont="1" applyBorder="1" applyProtection="1">
      <protection hidden="1"/>
    </xf>
    <xf numFmtId="2" fontId="0" fillId="0" borderId="6" xfId="0" applyNumberFormat="1" applyBorder="1" applyProtection="1">
      <protection hidden="1"/>
    </xf>
    <xf numFmtId="2" fontId="2" fillId="0" borderId="6" xfId="0" applyNumberFormat="1" applyFont="1" applyBorder="1" applyProtection="1">
      <protection hidden="1"/>
    </xf>
    <xf numFmtId="2" fontId="0" fillId="0" borderId="39" xfId="0" applyNumberFormat="1" applyBorder="1" applyProtection="1">
      <protection hidden="1"/>
    </xf>
    <xf numFmtId="1" fontId="0" fillId="0" borderId="22" xfId="0" applyNumberFormat="1" applyBorder="1" applyAlignment="1" applyProtection="1">
      <alignment horizontal="center"/>
      <protection hidden="1"/>
    </xf>
    <xf numFmtId="2" fontId="0" fillId="0" borderId="22" xfId="0" applyNumberFormat="1" applyBorder="1" applyAlignment="1" applyProtection="1">
      <alignment horizontal="right"/>
      <protection hidden="1"/>
    </xf>
    <xf numFmtId="2" fontId="0" fillId="0" borderId="25" xfId="0" applyNumberFormat="1" applyBorder="1" applyProtection="1">
      <protection hidden="1"/>
    </xf>
    <xf numFmtId="2" fontId="2" fillId="0" borderId="23" xfId="0" applyNumberFormat="1" applyFont="1" applyBorder="1" applyProtection="1">
      <protection hidden="1"/>
    </xf>
    <xf numFmtId="2" fontId="0" fillId="0" borderId="22" xfId="0" applyNumberFormat="1" applyFont="1" applyBorder="1" applyProtection="1">
      <protection hidden="1"/>
    </xf>
    <xf numFmtId="2" fontId="0" fillId="0" borderId="22" xfId="0" applyNumberFormat="1" applyBorder="1" applyProtection="1">
      <protection hidden="1"/>
    </xf>
    <xf numFmtId="2" fontId="2" fillId="0" borderId="22" xfId="0" applyNumberFormat="1" applyFont="1" applyBorder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" fontId="0" fillId="0" borderId="19" xfId="0" applyNumberFormat="1" applyBorder="1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0" fontId="0" fillId="0" borderId="21" xfId="0" applyBorder="1" applyProtection="1">
      <protection hidden="1"/>
    </xf>
    <xf numFmtId="2" fontId="0" fillId="0" borderId="19" xfId="0" applyNumberFormat="1" applyFont="1" applyBorder="1" applyProtection="1">
      <protection hidden="1"/>
    </xf>
    <xf numFmtId="2" fontId="0" fillId="0" borderId="19" xfId="0" applyNumberFormat="1" applyBorder="1" applyProtection="1">
      <protection hidden="1"/>
    </xf>
    <xf numFmtId="2" fontId="2" fillId="0" borderId="19" xfId="0" applyNumberFormat="1" applyFont="1" applyBorder="1" applyProtection="1">
      <protection hidden="1"/>
    </xf>
    <xf numFmtId="2" fontId="0" fillId="0" borderId="35" xfId="0" applyNumberFormat="1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173" fontId="0" fillId="0" borderId="0" xfId="0" applyNumberFormat="1" applyBorder="1" applyAlignment="1" applyProtection="1">
      <alignment horizontal="right"/>
      <protection hidden="1"/>
    </xf>
    <xf numFmtId="2" fontId="2" fillId="0" borderId="0" xfId="0" applyNumberFormat="1" applyFont="1" applyBorder="1" applyAlignment="1" applyProtection="1">
      <alignment horizontal="right"/>
    </xf>
    <xf numFmtId="0" fontId="0" fillId="0" borderId="0" xfId="0" applyBorder="1" applyProtection="1">
      <protection hidden="1"/>
    </xf>
    <xf numFmtId="10" fontId="3" fillId="0" borderId="0" xfId="2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hidden="1"/>
    </xf>
    <xf numFmtId="0" fontId="15" fillId="0" borderId="0" xfId="0" applyFont="1" applyFill="1" applyProtection="1">
      <protection hidden="1"/>
    </xf>
    <xf numFmtId="0" fontId="16" fillId="0" borderId="0" xfId="0" applyFont="1" applyFill="1" applyProtection="1">
      <protection hidden="1"/>
    </xf>
    <xf numFmtId="0" fontId="0" fillId="0" borderId="40" xfId="0" applyFill="1" applyBorder="1" applyProtection="1">
      <protection hidden="1"/>
    </xf>
    <xf numFmtId="0" fontId="0" fillId="0" borderId="41" xfId="0" applyFill="1" applyBorder="1" applyProtection="1">
      <protection hidden="1"/>
    </xf>
    <xf numFmtId="0" fontId="0" fillId="0" borderId="42" xfId="0" applyFill="1" applyBorder="1" applyProtection="1">
      <protection hidden="1"/>
    </xf>
    <xf numFmtId="0" fontId="0" fillId="0" borderId="43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0" fillId="0" borderId="44" xfId="0" applyFill="1" applyBorder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1" fontId="2" fillId="0" borderId="0" xfId="0" applyNumberFormat="1" applyFont="1" applyFill="1" applyBorder="1" applyAlignment="1" applyProtection="1">
      <alignment horizontal="right"/>
      <protection hidden="1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2" fillId="0" borderId="0" xfId="0" quotePrefix="1" applyFont="1" applyFill="1" applyBorder="1" applyProtection="1">
      <protection hidden="1"/>
    </xf>
    <xf numFmtId="4" fontId="0" fillId="0" borderId="0" xfId="0" applyNumberFormat="1" applyFill="1" applyBorder="1" applyProtection="1"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hidden="1"/>
    </xf>
    <xf numFmtId="4" fontId="2" fillId="0" borderId="0" xfId="0" applyNumberFormat="1" applyFont="1" applyFill="1" applyBorder="1" applyAlignment="1" applyProtection="1">
      <alignment horizontal="center"/>
      <protection hidden="1"/>
    </xf>
    <xf numFmtId="4" fontId="20" fillId="0" borderId="0" xfId="0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2" fillId="0" borderId="43" xfId="0" applyFont="1" applyFill="1" applyBorder="1" applyAlignment="1" applyProtection="1">
      <alignment horizontal="right"/>
      <protection hidden="1"/>
    </xf>
    <xf numFmtId="0" fontId="0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wrapText="1"/>
      <protection hidden="1"/>
    </xf>
    <xf numFmtId="0" fontId="0" fillId="0" borderId="0" xfId="0" applyFont="1" applyFill="1" applyBorder="1" applyAlignment="1" applyProtection="1">
      <protection hidden="1"/>
    </xf>
    <xf numFmtId="0" fontId="0" fillId="0" borderId="45" xfId="0" applyFill="1" applyBorder="1" applyProtection="1">
      <protection hidden="1"/>
    </xf>
    <xf numFmtId="0" fontId="0" fillId="0" borderId="46" xfId="0" applyFill="1" applyBorder="1" applyProtection="1">
      <protection hidden="1"/>
    </xf>
    <xf numFmtId="0" fontId="0" fillId="0" borderId="47" xfId="0" applyFill="1" applyBorder="1" applyProtection="1">
      <protection hidden="1"/>
    </xf>
    <xf numFmtId="4" fontId="2" fillId="8" borderId="0" xfId="0" applyNumberFormat="1" applyFont="1" applyFill="1" applyBorder="1" applyProtection="1">
      <protection hidden="1"/>
    </xf>
    <xf numFmtId="2" fontId="2" fillId="0" borderId="0" xfId="0" applyNumberFormat="1" applyFont="1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0" fontId="0" fillId="0" borderId="46" xfId="0" applyFill="1" applyBorder="1" applyAlignment="1" applyProtection="1">
      <alignment horizontal="right"/>
      <protection hidden="1"/>
    </xf>
    <xf numFmtId="4" fontId="20" fillId="0" borderId="46" xfId="0" applyNumberFormat="1" applyFont="1" applyFill="1" applyBorder="1" applyProtection="1">
      <protection hidden="1"/>
    </xf>
    <xf numFmtId="2" fontId="2" fillId="0" borderId="46" xfId="0" applyNumberFormat="1" applyFont="1" applyFill="1" applyBorder="1" applyProtection="1">
      <protection hidden="1"/>
    </xf>
    <xf numFmtId="0" fontId="0" fillId="0" borderId="43" xfId="0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44" xfId="0" applyFill="1" applyBorder="1" applyAlignment="1" applyProtection="1">
      <alignment horizontal="left"/>
      <protection hidden="1"/>
    </xf>
    <xf numFmtId="10" fontId="2" fillId="0" borderId="0" xfId="2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1" fontId="2" fillId="0" borderId="0" xfId="0" applyNumberFormat="1" applyFont="1" applyBorder="1" applyAlignment="1" applyProtection="1">
      <alignment horizontal="center"/>
      <protection hidden="1"/>
    </xf>
    <xf numFmtId="1" fontId="18" fillId="7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wrapText="1"/>
      <protection hidden="1"/>
    </xf>
    <xf numFmtId="14" fontId="7" fillId="0" borderId="48" xfId="0" applyNumberFormat="1" applyFont="1" applyFill="1" applyBorder="1" applyProtection="1">
      <protection hidden="1"/>
    </xf>
    <xf numFmtId="1" fontId="18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quotePrefix="1" applyFont="1" applyFill="1" applyBorder="1" applyAlignment="1" applyProtection="1">
      <protection hidden="1"/>
    </xf>
    <xf numFmtId="0" fontId="0" fillId="0" borderId="48" xfId="0" applyFill="1" applyBorder="1" applyProtection="1">
      <protection hidden="1"/>
    </xf>
    <xf numFmtId="1" fontId="18" fillId="9" borderId="0" xfId="0" applyNumberFormat="1" applyFont="1" applyFill="1" applyBorder="1" applyAlignment="1" applyProtection="1">
      <alignment horizontal="center"/>
      <protection locked="0"/>
    </xf>
    <xf numFmtId="179" fontId="18" fillId="9" borderId="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0" fillId="10" borderId="0" xfId="0" applyFill="1" applyProtection="1">
      <protection hidden="1"/>
    </xf>
    <xf numFmtId="14" fontId="0" fillId="10" borderId="0" xfId="0" applyNumberFormat="1" applyFill="1"/>
    <xf numFmtId="4" fontId="0" fillId="10" borderId="0" xfId="0" applyNumberFormat="1" applyFill="1"/>
    <xf numFmtId="0" fontId="0" fillId="10" borderId="0" xfId="0" applyFill="1"/>
    <xf numFmtId="14" fontId="0" fillId="11" borderId="0" xfId="0" applyNumberFormat="1" applyFill="1"/>
    <xf numFmtId="0" fontId="0" fillId="11" borderId="0" xfId="0" applyFill="1" applyProtection="1">
      <protection hidden="1"/>
    </xf>
    <xf numFmtId="0" fontId="0" fillId="12" borderId="0" xfId="0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0" fillId="11" borderId="0" xfId="0" applyFill="1" applyProtection="1">
      <protection hidden="1"/>
    </xf>
    <xf numFmtId="0" fontId="0" fillId="11" borderId="0" xfId="0" applyFill="1"/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0" fillId="0" borderId="43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44" xfId="0" applyFill="1" applyBorder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2" fontId="2" fillId="0" borderId="0" xfId="0" applyNumberFormat="1" applyFont="1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0" fontId="0" fillId="0" borderId="0" xfId="0" quotePrefix="1" applyFill="1" applyProtection="1">
      <protection hidden="1"/>
    </xf>
    <xf numFmtId="0" fontId="20" fillId="0" borderId="0" xfId="0" applyFont="1" applyFill="1" applyBorder="1" applyProtection="1">
      <protection hidden="1"/>
    </xf>
    <xf numFmtId="0" fontId="0" fillId="10" borderId="0" xfId="0" applyFill="1" applyProtection="1">
      <protection hidden="1"/>
    </xf>
    <xf numFmtId="2" fontId="2" fillId="11" borderId="0" xfId="0" applyNumberFormat="1" applyFont="1" applyFill="1" applyBorder="1" applyProtection="1">
      <protection hidden="1"/>
    </xf>
    <xf numFmtId="4" fontId="2" fillId="12" borderId="0" xfId="0" applyNumberFormat="1" applyFont="1" applyFill="1" applyBorder="1" applyProtection="1">
      <protection hidden="1"/>
    </xf>
    <xf numFmtId="0" fontId="0" fillId="12" borderId="0" xfId="0" applyFill="1" applyProtection="1">
      <protection hidden="1"/>
    </xf>
    <xf numFmtId="4" fontId="2" fillId="11" borderId="0" xfId="0" applyNumberFormat="1" applyFont="1" applyFill="1" applyBorder="1" applyProtection="1">
      <protection hidden="1"/>
    </xf>
    <xf numFmtId="0" fontId="0" fillId="0" borderId="0" xfId="0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Font="1" applyFill="1" applyBorder="1" applyProtection="1">
      <protection hidden="1"/>
    </xf>
    <xf numFmtId="0" fontId="17" fillId="0" borderId="43" xfId="0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17" fillId="0" borderId="44" xfId="0" applyFont="1" applyFill="1" applyBorder="1" applyAlignment="1" applyProtection="1">
      <alignment horizontal="center"/>
      <protection hidden="1"/>
    </xf>
    <xf numFmtId="1" fontId="18" fillId="9" borderId="0" xfId="0" applyNumberFormat="1" applyFont="1" applyFill="1" applyBorder="1" applyAlignment="1" applyProtection="1">
      <alignment horizontal="left"/>
      <protection locked="0"/>
    </xf>
  </cellXfs>
  <cellStyles count="5">
    <cellStyle name="Komma" xfId="1" builtinId="3"/>
    <cellStyle name="Prozent" xfId="2" builtinId="5"/>
    <cellStyle name="Standard" xfId="0" builtinId="0"/>
    <cellStyle name="Standard_MANN" xfId="3" xr:uid="{00000000-0005-0000-0000-000003000000}"/>
    <cellStyle name="Währung" xfId="4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BEIN\EXCEL_F__R_DK\Richttafeln\6a_RT98.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_Dat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7"/>
  <sheetViews>
    <sheetView showGridLines="0" tabSelected="1" workbookViewId="0">
      <selection activeCell="D12" sqref="D12"/>
    </sheetView>
  </sheetViews>
  <sheetFormatPr baseColWidth="10" defaultColWidth="0" defaultRowHeight="12.75" zeroHeight="1"/>
  <cols>
    <col min="1" max="1" width="5.7109375" style="1" customWidth="1"/>
    <col min="2" max="2" width="8.28515625" style="1" customWidth="1"/>
    <col min="3" max="3" width="18" style="1" customWidth="1"/>
    <col min="4" max="4" width="7.5703125" style="1" customWidth="1"/>
    <col min="5" max="5" width="6.5703125" style="1" customWidth="1"/>
    <col min="6" max="6" width="9.5703125" style="1" customWidth="1"/>
    <col min="7" max="7" width="4.7109375" style="1" customWidth="1"/>
    <col min="8" max="8" width="8.7109375" style="1" customWidth="1"/>
    <col min="9" max="9" width="7.5703125" style="1" hidden="1" customWidth="1"/>
    <col min="10" max="12" width="7.5703125" style="1" customWidth="1"/>
    <col min="13" max="17" width="5.7109375" style="1" hidden="1" customWidth="1"/>
    <col min="18" max="18" width="5.7109375" style="2" hidden="1" customWidth="1"/>
    <col min="19" max="19" width="10.140625" style="3" hidden="1" customWidth="1"/>
    <col min="20" max="20" width="10.140625" style="1" hidden="1" customWidth="1"/>
    <col min="21" max="21" width="6.7109375" style="1" hidden="1" customWidth="1"/>
    <col min="22" max="22" width="6" style="1" hidden="1" customWidth="1"/>
    <col min="23" max="25" width="2" style="1" hidden="1" customWidth="1"/>
    <col min="26" max="26" width="4" style="1" hidden="1" customWidth="1"/>
    <col min="27" max="27" width="5.7109375" style="1" hidden="1" customWidth="1"/>
    <col min="28" max="16384" width="11.28515625" style="1" hidden="1"/>
  </cols>
  <sheetData>
    <row r="1" spans="1:22" s="304" customFormat="1" ht="18">
      <c r="A1" s="263"/>
      <c r="B1" s="264" t="s">
        <v>132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R1" s="305"/>
      <c r="S1" s="306"/>
    </row>
    <row r="2" spans="1:22" s="304" customFormat="1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R2" s="305"/>
      <c r="S2" s="306"/>
    </row>
    <row r="3" spans="1:22" s="304" customFormat="1" ht="15.75">
      <c r="A3" s="263"/>
      <c r="B3" s="265" t="s">
        <v>156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R3" s="305"/>
      <c r="S3" s="306"/>
    </row>
    <row r="4" spans="1:22" s="304" customFormat="1" ht="17.25">
      <c r="A4" s="263"/>
      <c r="B4" s="265" t="s">
        <v>157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R4" s="305"/>
      <c r="S4" s="306"/>
    </row>
    <row r="5" spans="1:22" s="304" customFormat="1" ht="13.5" thickBot="1">
      <c r="A5" s="263"/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R5" s="305"/>
      <c r="S5" s="306"/>
    </row>
    <row r="6" spans="1:22" s="304" customFormat="1">
      <c r="A6" s="263"/>
      <c r="B6" s="266"/>
      <c r="C6" s="267"/>
      <c r="D6" s="267"/>
      <c r="E6" s="267"/>
      <c r="F6" s="267"/>
      <c r="G6" s="267"/>
      <c r="H6" s="267"/>
      <c r="I6" s="267"/>
      <c r="J6" s="267"/>
      <c r="K6" s="268"/>
      <c r="L6" s="263"/>
      <c r="R6" s="305"/>
      <c r="S6" s="306"/>
    </row>
    <row r="7" spans="1:22" s="304" customFormat="1" ht="15.75">
      <c r="A7" s="263"/>
      <c r="B7" s="352" t="s">
        <v>133</v>
      </c>
      <c r="C7" s="353"/>
      <c r="D7" s="353"/>
      <c r="E7" s="353"/>
      <c r="F7" s="353"/>
      <c r="G7" s="353"/>
      <c r="H7" s="353"/>
      <c r="I7" s="353"/>
      <c r="J7" s="353"/>
      <c r="K7" s="354"/>
      <c r="L7" s="263"/>
      <c r="R7" s="305"/>
      <c r="S7" s="306"/>
    </row>
    <row r="8" spans="1:22" s="304" customFormat="1">
      <c r="A8" s="263"/>
      <c r="B8" s="269"/>
      <c r="C8" s="270"/>
      <c r="D8" s="270"/>
      <c r="E8" s="270"/>
      <c r="F8" s="270"/>
      <c r="G8" s="270"/>
      <c r="H8" s="271"/>
      <c r="I8" s="270"/>
      <c r="J8" s="270"/>
      <c r="K8" s="272"/>
      <c r="L8" s="263"/>
      <c r="R8" s="305"/>
      <c r="S8" s="306"/>
      <c r="V8" s="304">
        <v>500</v>
      </c>
    </row>
    <row r="9" spans="1:22" s="304" customFormat="1">
      <c r="A9" s="263"/>
      <c r="B9" s="269"/>
      <c r="C9" s="273" t="s">
        <v>8</v>
      </c>
      <c r="D9" s="355" t="s">
        <v>134</v>
      </c>
      <c r="E9" s="355"/>
      <c r="F9" s="355"/>
      <c r="G9" s="273"/>
      <c r="H9" s="274"/>
      <c r="I9" s="275"/>
      <c r="J9" s="276"/>
      <c r="K9" s="272"/>
      <c r="L9" s="263"/>
      <c r="R9" s="305"/>
      <c r="S9" s="306"/>
      <c r="V9" s="304">
        <v>1000</v>
      </c>
    </row>
    <row r="10" spans="1:22" s="304" customFormat="1">
      <c r="A10" s="263"/>
      <c r="B10" s="269"/>
      <c r="C10" s="273"/>
      <c r="D10" s="270"/>
      <c r="E10" s="270"/>
      <c r="F10" s="277"/>
      <c r="G10" s="273"/>
      <c r="H10" s="278"/>
      <c r="I10" s="279"/>
      <c r="J10" s="270"/>
      <c r="K10" s="272"/>
      <c r="L10" s="263"/>
      <c r="R10" s="305"/>
      <c r="S10" s="306"/>
      <c r="V10" s="304">
        <v>1500</v>
      </c>
    </row>
    <row r="11" spans="1:22" s="304" customFormat="1">
      <c r="A11" s="263"/>
      <c r="B11" s="269"/>
      <c r="C11" s="273"/>
      <c r="D11" s="280" t="s">
        <v>135</v>
      </c>
      <c r="E11" s="280" t="s">
        <v>136</v>
      </c>
      <c r="F11" s="281" t="s">
        <v>137</v>
      </c>
      <c r="G11" s="273"/>
      <c r="H11" s="278"/>
      <c r="I11" s="279"/>
      <c r="J11" s="270"/>
      <c r="K11" s="272"/>
      <c r="L11" s="263"/>
      <c r="R11" s="305"/>
      <c r="S11" s="306"/>
      <c r="V11" s="304">
        <v>2000</v>
      </c>
    </row>
    <row r="12" spans="1:22" s="304" customFormat="1">
      <c r="B12" s="269"/>
      <c r="C12" s="261" t="s">
        <v>14</v>
      </c>
      <c r="D12" s="316">
        <v>1</v>
      </c>
      <c r="E12" s="316">
        <v>11</v>
      </c>
      <c r="F12" s="316">
        <v>1992</v>
      </c>
      <c r="G12" s="309" t="str">
        <f>IF($J$24&lt;18,"Person ist noch nicht 18 Jahre",IF($H$15&gt;70,"Person ist älter 70 Jahre",""))</f>
        <v/>
      </c>
      <c r="H12" s="261"/>
      <c r="I12" s="261"/>
      <c r="J12" s="261"/>
      <c r="K12" s="272"/>
      <c r="R12" s="305"/>
      <c r="S12" s="306"/>
      <c r="V12" s="304">
        <v>2500</v>
      </c>
    </row>
    <row r="13" spans="1:22" s="304" customFormat="1">
      <c r="A13" s="263"/>
      <c r="B13" s="269"/>
      <c r="C13" s="273"/>
      <c r="D13" s="270"/>
      <c r="E13" s="270"/>
      <c r="F13" s="277"/>
      <c r="G13" s="270"/>
      <c r="H13" s="278"/>
      <c r="I13" s="270"/>
      <c r="J13" s="270"/>
      <c r="K13" s="272"/>
      <c r="L13" s="263"/>
      <c r="R13" s="305"/>
      <c r="S13" s="306"/>
      <c r="V13" s="304">
        <v>3000</v>
      </c>
    </row>
    <row r="14" spans="1:22" s="304" customFormat="1">
      <c r="A14" s="263"/>
      <c r="B14" s="269"/>
      <c r="C14" s="273"/>
      <c r="D14" s="280" t="s">
        <v>135</v>
      </c>
      <c r="E14" s="280" t="s">
        <v>136</v>
      </c>
      <c r="F14" s="281" t="s">
        <v>137</v>
      </c>
      <c r="G14" s="270"/>
      <c r="H14" s="278"/>
      <c r="I14" s="270"/>
      <c r="J14" s="270"/>
      <c r="K14" s="272"/>
      <c r="L14" s="263"/>
      <c r="R14" s="305"/>
      <c r="S14" s="306"/>
      <c r="V14" s="304">
        <v>3500</v>
      </c>
    </row>
    <row r="15" spans="1:22" s="304" customFormat="1">
      <c r="B15" s="269"/>
      <c r="C15" s="261" t="s">
        <v>16</v>
      </c>
      <c r="D15" s="312">
        <v>1</v>
      </c>
      <c r="E15" s="316">
        <v>10</v>
      </c>
      <c r="F15" s="316">
        <v>2024</v>
      </c>
      <c r="G15" s="273"/>
      <c r="H15" s="274">
        <f>I15</f>
        <v>32</v>
      </c>
      <c r="I15" s="307">
        <f>X_EIN</f>
        <v>32</v>
      </c>
      <c r="J15" s="276" t="s">
        <v>139</v>
      </c>
      <c r="K15" s="272"/>
      <c r="L15" s="263"/>
      <c r="R15" s="305"/>
      <c r="S15" s="306"/>
      <c r="V15" s="304">
        <v>4000</v>
      </c>
    </row>
    <row r="16" spans="1:22" s="304" customFormat="1">
      <c r="A16" s="263"/>
      <c r="B16" s="269"/>
      <c r="C16" s="270"/>
      <c r="D16" s="270"/>
      <c r="E16" s="270"/>
      <c r="F16" s="270"/>
      <c r="G16" s="270"/>
      <c r="H16" s="273"/>
      <c r="I16" s="270"/>
      <c r="J16" s="270"/>
      <c r="K16" s="272"/>
      <c r="L16" s="263"/>
      <c r="R16" s="305"/>
      <c r="S16" s="306"/>
      <c r="V16" s="304">
        <v>4500</v>
      </c>
    </row>
    <row r="17" spans="1:26" s="304" customFormat="1">
      <c r="A17" s="263"/>
      <c r="B17" s="269"/>
      <c r="C17" s="270"/>
      <c r="D17" s="270"/>
      <c r="E17" s="270"/>
      <c r="F17" s="282" t="s">
        <v>138</v>
      </c>
      <c r="G17" s="270"/>
      <c r="H17" s="270"/>
      <c r="I17" s="270"/>
      <c r="J17" s="270"/>
      <c r="K17" s="272"/>
      <c r="L17" s="263"/>
      <c r="R17" s="305"/>
      <c r="S17" s="306"/>
      <c r="V17" s="304">
        <v>5000</v>
      </c>
    </row>
    <row r="18" spans="1:26" s="304" customFormat="1">
      <c r="A18" s="263"/>
      <c r="B18" s="269"/>
      <c r="C18" s="270"/>
      <c r="D18" s="270"/>
      <c r="E18" s="283" t="s">
        <v>140</v>
      </c>
      <c r="F18" s="313">
        <v>85</v>
      </c>
      <c r="G18" s="270" t="s">
        <v>158</v>
      </c>
      <c r="H18" s="270"/>
      <c r="I18" s="270"/>
      <c r="J18" s="270"/>
      <c r="K18" s="272"/>
      <c r="L18" s="263"/>
      <c r="R18" s="305"/>
      <c r="S18" s="306"/>
      <c r="V18" s="304">
        <v>5500</v>
      </c>
    </row>
    <row r="19" spans="1:26" s="304" customFormat="1">
      <c r="A19" s="263"/>
      <c r="B19" s="269"/>
      <c r="C19" s="270"/>
      <c r="D19" s="270"/>
      <c r="E19" s="270"/>
      <c r="F19" s="277"/>
      <c r="G19" s="270"/>
      <c r="H19" s="270"/>
      <c r="I19" s="270"/>
      <c r="J19" s="270"/>
      <c r="K19" s="272"/>
      <c r="L19" s="263"/>
      <c r="R19" s="305"/>
      <c r="S19" s="306"/>
      <c r="V19" s="304">
        <v>6000</v>
      </c>
    </row>
    <row r="20" spans="1:26" s="304" customFormat="1" ht="14.25">
      <c r="A20" s="263"/>
      <c r="B20" s="269"/>
      <c r="C20" s="270"/>
      <c r="D20" s="270"/>
      <c r="E20" s="283" t="s">
        <v>141</v>
      </c>
      <c r="F20" s="317">
        <v>8000</v>
      </c>
      <c r="G20" s="284" t="s">
        <v>142</v>
      </c>
      <c r="H20" s="270"/>
      <c r="I20" s="270"/>
      <c r="J20" s="270"/>
      <c r="K20" s="272"/>
      <c r="L20" s="263"/>
      <c r="R20" s="305"/>
      <c r="S20" s="306"/>
      <c r="V20" s="304">
        <v>6500</v>
      </c>
    </row>
    <row r="21" spans="1:26" s="304" customFormat="1">
      <c r="A21" s="263"/>
      <c r="B21" s="269"/>
      <c r="C21" s="270"/>
      <c r="D21" s="270"/>
      <c r="E21" s="270"/>
      <c r="F21" s="270"/>
      <c r="G21" s="270"/>
      <c r="H21" s="270"/>
      <c r="I21" s="270"/>
      <c r="J21" s="270"/>
      <c r="K21" s="272"/>
      <c r="L21" s="263"/>
      <c r="R21" s="305"/>
      <c r="S21" s="306"/>
      <c r="V21" s="304">
        <v>7000</v>
      </c>
    </row>
    <row r="22" spans="1:26" s="304" customFormat="1">
      <c r="A22" s="263"/>
      <c r="B22" s="285" t="s">
        <v>143</v>
      </c>
      <c r="C22" s="286" t="s">
        <v>159</v>
      </c>
      <c r="D22" s="270"/>
      <c r="E22" s="270"/>
      <c r="F22" s="270"/>
      <c r="G22" s="270"/>
      <c r="H22" s="270"/>
      <c r="I22" s="270"/>
      <c r="J22" s="270"/>
      <c r="K22" s="272"/>
      <c r="L22" s="263"/>
      <c r="R22" s="305"/>
      <c r="S22" s="306"/>
      <c r="V22" s="304">
        <v>7500</v>
      </c>
    </row>
    <row r="23" spans="1:26" s="304" customFormat="1" ht="6" customHeight="1">
      <c r="A23" s="263"/>
      <c r="B23" s="269"/>
      <c r="C23" s="288"/>
      <c r="D23" s="287"/>
      <c r="E23" s="287"/>
      <c r="F23" s="287"/>
      <c r="G23" s="287"/>
      <c r="H23" s="287"/>
      <c r="I23" s="287"/>
      <c r="J23" s="310"/>
      <c r="K23" s="311"/>
      <c r="L23" s="263"/>
      <c r="R23" s="305"/>
      <c r="S23" s="306"/>
      <c r="V23" s="304">
        <v>8000</v>
      </c>
    </row>
    <row r="24" spans="1:26" s="304" customFormat="1">
      <c r="A24" s="263"/>
      <c r="B24" s="269"/>
      <c r="C24" s="314" t="s">
        <v>160</v>
      </c>
      <c r="D24" s="287"/>
      <c r="E24" s="287"/>
      <c r="F24" s="287"/>
      <c r="G24" s="287"/>
      <c r="H24" s="287"/>
      <c r="I24" s="287"/>
      <c r="J24" s="310">
        <f>DATEDIF(K24,K25,"Y")</f>
        <v>31</v>
      </c>
      <c r="K24" s="311">
        <f>DATE(F12,E12,D12)</f>
        <v>33909</v>
      </c>
      <c r="L24" s="263"/>
      <c r="R24" s="305"/>
      <c r="S24" s="306"/>
    </row>
    <row r="25" spans="1:26" s="304" customFormat="1">
      <c r="A25" s="263"/>
      <c r="B25" s="269"/>
      <c r="C25" s="314" t="s">
        <v>161</v>
      </c>
      <c r="D25" s="287"/>
      <c r="E25" s="287"/>
      <c r="F25" s="287"/>
      <c r="G25" s="287"/>
      <c r="H25" s="287"/>
      <c r="I25" s="287"/>
      <c r="J25" s="310"/>
      <c r="K25" s="311">
        <f>DATE(F15,E15,D15)</f>
        <v>45566</v>
      </c>
      <c r="L25" s="263"/>
      <c r="R25" s="305"/>
      <c r="S25" s="306"/>
    </row>
    <row r="26" spans="1:26" s="304" customFormat="1">
      <c r="A26" s="263"/>
      <c r="B26" s="269"/>
      <c r="C26" s="314" t="s">
        <v>162</v>
      </c>
      <c r="D26" s="287"/>
      <c r="E26" s="287"/>
      <c r="F26" s="287"/>
      <c r="G26" s="287"/>
      <c r="H26" s="287"/>
      <c r="I26" s="287"/>
      <c r="J26" s="310"/>
      <c r="K26" s="311"/>
      <c r="L26" s="263"/>
      <c r="R26" s="305"/>
      <c r="S26" s="306"/>
    </row>
    <row r="27" spans="1:26" s="304" customFormat="1">
      <c r="A27" s="263"/>
      <c r="B27" s="269"/>
      <c r="C27" s="314" t="s">
        <v>163</v>
      </c>
      <c r="D27" s="287"/>
      <c r="E27" s="287"/>
      <c r="F27" s="287"/>
      <c r="G27" s="287"/>
      <c r="H27" s="287"/>
      <c r="I27" s="287"/>
      <c r="J27" s="310"/>
      <c r="K27" s="311"/>
      <c r="L27" s="263"/>
      <c r="R27" s="305"/>
      <c r="S27" s="323">
        <f>DATE(F15,E15,D15)</f>
        <v>45566</v>
      </c>
      <c r="T27" s="318"/>
      <c r="U27" s="326" t="s">
        <v>164</v>
      </c>
      <c r="V27" s="318">
        <f>$F$38/12</f>
        <v>10.96</v>
      </c>
      <c r="W27" s="318"/>
      <c r="X27" s="318"/>
      <c r="Y27" s="318"/>
      <c r="Z27" s="318"/>
    </row>
    <row r="28" spans="1:26" s="304" customFormat="1">
      <c r="A28" s="263"/>
      <c r="B28" s="269"/>
      <c r="C28" s="288"/>
      <c r="D28" s="287"/>
      <c r="E28" s="287"/>
      <c r="F28" s="287"/>
      <c r="G28" s="287"/>
      <c r="H28" s="287"/>
      <c r="I28" s="287"/>
      <c r="J28" s="310"/>
      <c r="K28" s="311"/>
      <c r="L28" s="263"/>
      <c r="R28" s="305"/>
      <c r="S28" s="320">
        <v>1</v>
      </c>
      <c r="T28" s="320">
        <v>43009</v>
      </c>
      <c r="U28" s="319">
        <v>2017</v>
      </c>
      <c r="V28" s="321">
        <v>0</v>
      </c>
      <c r="W28" s="330">
        <f t="shared" ref="W28:W38" si="0">IF($S$27&gt;S28,1,0)</f>
        <v>1</v>
      </c>
      <c r="X28" s="330">
        <f t="shared" ref="X28:X38" si="1">IF($S$27&lt;T28,1,0)</f>
        <v>0</v>
      </c>
      <c r="Y28" s="324">
        <f t="shared" ref="Y28:Y38" si="2">W28+X28</f>
        <v>1</v>
      </c>
      <c r="Z28" s="331">
        <f t="shared" ref="Z28:Z38" si="3">IF(Y28=2,V28,0)</f>
        <v>0</v>
      </c>
    </row>
    <row r="29" spans="1:26" s="304" customFormat="1">
      <c r="A29" s="263"/>
      <c r="B29" s="285" t="s">
        <v>144</v>
      </c>
      <c r="C29" s="286" t="s">
        <v>145</v>
      </c>
      <c r="D29" s="270"/>
      <c r="E29" s="270"/>
      <c r="F29" s="270"/>
      <c r="G29" s="270"/>
      <c r="H29" s="270"/>
      <c r="I29" s="270"/>
      <c r="J29" s="270"/>
      <c r="K29" s="315"/>
      <c r="L29" s="263"/>
      <c r="R29" s="305"/>
      <c r="S29" s="320">
        <v>43008</v>
      </c>
      <c r="T29" s="320">
        <v>43374</v>
      </c>
      <c r="U29" s="322">
        <f t="shared" ref="U29:U38" si="4">U28+1</f>
        <v>2018</v>
      </c>
      <c r="V29" s="321">
        <v>0.3</v>
      </c>
      <c r="W29" s="330">
        <f t="shared" si="0"/>
        <v>1</v>
      </c>
      <c r="X29" s="330">
        <f t="shared" si="1"/>
        <v>0</v>
      </c>
      <c r="Y29" s="330">
        <f t="shared" si="2"/>
        <v>1</v>
      </c>
      <c r="Z29" s="331">
        <f t="shared" si="3"/>
        <v>0</v>
      </c>
    </row>
    <row r="30" spans="1:26" s="304" customFormat="1">
      <c r="A30" s="263"/>
      <c r="B30" s="269"/>
      <c r="C30" s="288" t="s">
        <v>146</v>
      </c>
      <c r="D30" s="287"/>
      <c r="E30" s="287"/>
      <c r="F30" s="287"/>
      <c r="G30" s="287"/>
      <c r="H30" s="287"/>
      <c r="I30" s="287"/>
      <c r="J30" s="287"/>
      <c r="K30" s="272"/>
      <c r="L30" s="263"/>
      <c r="R30" s="305"/>
      <c r="S30" s="320">
        <v>43373</v>
      </c>
      <c r="T30" s="320">
        <v>43739</v>
      </c>
      <c r="U30" s="322">
        <f t="shared" si="4"/>
        <v>2019</v>
      </c>
      <c r="V30" s="321">
        <f>V29</f>
        <v>0.3</v>
      </c>
      <c r="W30" s="330">
        <f t="shared" si="0"/>
        <v>1</v>
      </c>
      <c r="X30" s="330">
        <f t="shared" si="1"/>
        <v>0</v>
      </c>
      <c r="Y30" s="330">
        <f t="shared" si="2"/>
        <v>1</v>
      </c>
      <c r="Z30" s="331">
        <f t="shared" si="3"/>
        <v>0</v>
      </c>
    </row>
    <row r="31" spans="1:26" s="304" customFormat="1">
      <c r="A31" s="263"/>
      <c r="B31" s="269"/>
      <c r="C31" s="287"/>
      <c r="D31" s="287"/>
      <c r="E31" s="287"/>
      <c r="F31" s="287"/>
      <c r="G31" s="287"/>
      <c r="H31" s="287"/>
      <c r="I31" s="287"/>
      <c r="J31" s="287"/>
      <c r="K31" s="272"/>
      <c r="L31" s="263"/>
      <c r="R31" s="305"/>
      <c r="S31" s="320">
        <v>43738</v>
      </c>
      <c r="T31" s="320">
        <v>44105</v>
      </c>
      <c r="U31" s="322">
        <f t="shared" si="4"/>
        <v>2020</v>
      </c>
      <c r="V31" s="321">
        <f t="shared" ref="V31:V38" si="5">V30</f>
        <v>0.3</v>
      </c>
      <c r="W31" s="330">
        <f t="shared" si="0"/>
        <v>1</v>
      </c>
      <c r="X31" s="330">
        <f t="shared" si="1"/>
        <v>0</v>
      </c>
      <c r="Y31" s="330">
        <f t="shared" si="2"/>
        <v>1</v>
      </c>
      <c r="Z31" s="331">
        <f t="shared" si="3"/>
        <v>0</v>
      </c>
    </row>
    <row r="32" spans="1:26" s="304" customFormat="1" ht="13.5" thickBot="1">
      <c r="A32" s="263"/>
      <c r="B32" s="289"/>
      <c r="C32" s="290"/>
      <c r="D32" s="290"/>
      <c r="E32" s="290"/>
      <c r="F32" s="290"/>
      <c r="G32" s="290"/>
      <c r="H32" s="290"/>
      <c r="I32" s="290"/>
      <c r="J32" s="290"/>
      <c r="K32" s="291"/>
      <c r="L32" s="263"/>
      <c r="R32" s="305"/>
      <c r="S32" s="320">
        <v>44104</v>
      </c>
      <c r="T32" s="320">
        <v>44470</v>
      </c>
      <c r="U32" s="322">
        <f t="shared" si="4"/>
        <v>2021</v>
      </c>
      <c r="V32" s="321">
        <f t="shared" si="5"/>
        <v>0.3</v>
      </c>
      <c r="W32" s="330">
        <f t="shared" si="0"/>
        <v>1</v>
      </c>
      <c r="X32" s="330">
        <f t="shared" si="1"/>
        <v>0</v>
      </c>
      <c r="Y32" s="330">
        <f t="shared" si="2"/>
        <v>1</v>
      </c>
      <c r="Z32" s="331">
        <f t="shared" si="3"/>
        <v>0</v>
      </c>
    </row>
    <row r="33" spans="1:26" s="304" customFormat="1">
      <c r="A33" s="263"/>
      <c r="B33" s="266"/>
      <c r="C33" s="267"/>
      <c r="D33" s="267"/>
      <c r="E33" s="267"/>
      <c r="F33" s="267"/>
      <c r="G33" s="267"/>
      <c r="H33" s="267"/>
      <c r="I33" s="267"/>
      <c r="J33" s="267"/>
      <c r="K33" s="268"/>
      <c r="L33" s="263"/>
      <c r="R33" s="305"/>
      <c r="S33" s="320">
        <v>44469</v>
      </c>
      <c r="T33" s="320">
        <v>44835</v>
      </c>
      <c r="U33" s="322">
        <f t="shared" si="4"/>
        <v>2022</v>
      </c>
      <c r="V33" s="321">
        <f t="shared" si="5"/>
        <v>0.3</v>
      </c>
      <c r="W33" s="330">
        <f t="shared" si="0"/>
        <v>1</v>
      </c>
      <c r="X33" s="330">
        <f t="shared" si="1"/>
        <v>0</v>
      </c>
      <c r="Y33" s="330">
        <f t="shared" si="2"/>
        <v>1</v>
      </c>
      <c r="Z33" s="331">
        <f t="shared" si="3"/>
        <v>0</v>
      </c>
    </row>
    <row r="34" spans="1:26" s="304" customFormat="1" ht="15.75">
      <c r="A34" s="263"/>
      <c r="B34" s="352" t="s">
        <v>147</v>
      </c>
      <c r="C34" s="353"/>
      <c r="D34" s="353"/>
      <c r="E34" s="353"/>
      <c r="F34" s="353"/>
      <c r="G34" s="353"/>
      <c r="H34" s="353"/>
      <c r="I34" s="353"/>
      <c r="J34" s="353"/>
      <c r="K34" s="354"/>
      <c r="L34" s="263"/>
      <c r="R34" s="305"/>
      <c r="S34" s="320">
        <v>44834</v>
      </c>
      <c r="T34" s="320">
        <v>45200</v>
      </c>
      <c r="U34" s="322">
        <f t="shared" si="4"/>
        <v>2023</v>
      </c>
      <c r="V34" s="321">
        <f t="shared" si="5"/>
        <v>0.3</v>
      </c>
      <c r="W34" s="330">
        <f t="shared" si="0"/>
        <v>1</v>
      </c>
      <c r="X34" s="330">
        <f t="shared" si="1"/>
        <v>0</v>
      </c>
      <c r="Y34" s="330">
        <f t="shared" si="2"/>
        <v>1</v>
      </c>
      <c r="Z34" s="331">
        <f t="shared" si="3"/>
        <v>0</v>
      </c>
    </row>
    <row r="35" spans="1:26" s="304" customFormat="1">
      <c r="A35" s="263"/>
      <c r="B35" s="269"/>
      <c r="C35" s="270"/>
      <c r="D35" s="270"/>
      <c r="E35" s="270"/>
      <c r="F35" s="277"/>
      <c r="G35" s="270"/>
      <c r="H35" s="270"/>
      <c r="I35" s="270"/>
      <c r="J35" s="270"/>
      <c r="K35" s="272"/>
      <c r="L35" s="263"/>
      <c r="R35" s="305"/>
      <c r="S35" s="320">
        <v>45199</v>
      </c>
      <c r="T35" s="320">
        <v>45566</v>
      </c>
      <c r="U35" s="322">
        <f t="shared" si="4"/>
        <v>2024</v>
      </c>
      <c r="V35" s="321">
        <f t="shared" si="5"/>
        <v>0.3</v>
      </c>
      <c r="W35" s="330">
        <f t="shared" si="0"/>
        <v>1</v>
      </c>
      <c r="X35" s="330">
        <f t="shared" si="1"/>
        <v>0</v>
      </c>
      <c r="Y35" s="330">
        <f t="shared" si="2"/>
        <v>1</v>
      </c>
      <c r="Z35" s="331">
        <f t="shared" si="3"/>
        <v>0</v>
      </c>
    </row>
    <row r="36" spans="1:26" s="304" customFormat="1">
      <c r="A36" s="263"/>
      <c r="B36" s="269"/>
      <c r="C36" s="270"/>
      <c r="D36" s="281" t="s">
        <v>170</v>
      </c>
      <c r="E36" s="337"/>
      <c r="F36" s="280" t="s">
        <v>171</v>
      </c>
      <c r="H36" s="309" t="str">
        <f>IF($J$24&lt;18,"Person ist noch nicht 18 Jahre",IF($H$15&gt;70,"Person ist älter 70 Jahre",""))</f>
        <v/>
      </c>
      <c r="I36" s="270"/>
      <c r="J36" s="270"/>
      <c r="K36" s="272"/>
      <c r="L36" s="263"/>
      <c r="R36" s="305"/>
      <c r="S36" s="320">
        <v>45565</v>
      </c>
      <c r="T36" s="320">
        <v>45931</v>
      </c>
      <c r="U36" s="322">
        <f t="shared" si="4"/>
        <v>2025</v>
      </c>
      <c r="V36" s="321">
        <f t="shared" si="5"/>
        <v>0.3</v>
      </c>
      <c r="W36" s="330">
        <f t="shared" si="0"/>
        <v>1</v>
      </c>
      <c r="X36" s="330">
        <f t="shared" si="1"/>
        <v>1</v>
      </c>
      <c r="Y36" s="330">
        <f t="shared" si="2"/>
        <v>2</v>
      </c>
      <c r="Z36" s="331">
        <f t="shared" si="3"/>
        <v>0.3</v>
      </c>
    </row>
    <row r="37" spans="1:26" s="304" customFormat="1">
      <c r="A37" s="263"/>
      <c r="B37" s="269"/>
      <c r="C37" s="270"/>
      <c r="D37" s="270"/>
      <c r="E37" s="273"/>
      <c r="F37" s="294"/>
      <c r="G37" s="293"/>
      <c r="H37" s="293"/>
      <c r="I37" s="270"/>
      <c r="J37" s="270"/>
      <c r="K37" s="272"/>
      <c r="L37" s="263"/>
      <c r="R37" s="305"/>
      <c r="S37" s="320">
        <v>45930</v>
      </c>
      <c r="T37" s="320">
        <v>46296</v>
      </c>
      <c r="U37" s="322">
        <f t="shared" si="4"/>
        <v>2026</v>
      </c>
      <c r="V37" s="321">
        <f t="shared" si="5"/>
        <v>0.3</v>
      </c>
      <c r="W37" s="330">
        <f t="shared" si="0"/>
        <v>0</v>
      </c>
      <c r="X37" s="330">
        <f t="shared" si="1"/>
        <v>1</v>
      </c>
      <c r="Y37" s="330">
        <f t="shared" si="2"/>
        <v>1</v>
      </c>
      <c r="Z37" s="331">
        <f t="shared" si="3"/>
        <v>0</v>
      </c>
    </row>
    <row r="38" spans="1:26" s="304" customFormat="1">
      <c r="A38" s="263"/>
      <c r="B38" s="269"/>
      <c r="C38" s="339" t="s">
        <v>148</v>
      </c>
      <c r="D38" s="348">
        <f>$H$97</f>
        <v>155.52000000000001</v>
      </c>
      <c r="E38" s="293" t="s">
        <v>31</v>
      </c>
      <c r="F38" s="346">
        <f>D38+((F20*$Z$39%)*-1)</f>
        <v>131.52000000000001</v>
      </c>
      <c r="G38" s="293" t="s">
        <v>31</v>
      </c>
      <c r="H38" s="309" t="s">
        <v>138</v>
      </c>
      <c r="I38" s="270"/>
      <c r="J38" s="270"/>
      <c r="K38" s="272"/>
      <c r="L38" s="263"/>
      <c r="R38" s="305"/>
      <c r="S38" s="320">
        <v>46295</v>
      </c>
      <c r="T38" s="320">
        <v>46661</v>
      </c>
      <c r="U38" s="322">
        <f t="shared" si="4"/>
        <v>2027</v>
      </c>
      <c r="V38" s="321">
        <f t="shared" si="5"/>
        <v>0.3</v>
      </c>
      <c r="W38" s="330">
        <f t="shared" si="0"/>
        <v>0</v>
      </c>
      <c r="X38" s="330">
        <f t="shared" si="1"/>
        <v>1</v>
      </c>
      <c r="Y38" s="330">
        <f t="shared" si="2"/>
        <v>1</v>
      </c>
      <c r="Z38" s="331">
        <f t="shared" si="3"/>
        <v>0</v>
      </c>
    </row>
    <row r="39" spans="1:26" s="304" customFormat="1">
      <c r="A39" s="263"/>
      <c r="B39" s="269"/>
      <c r="C39" s="270"/>
      <c r="D39" s="270"/>
      <c r="E39" s="273"/>
      <c r="F39" s="294"/>
      <c r="G39" s="293"/>
      <c r="H39" s="309"/>
      <c r="I39" s="270"/>
      <c r="J39" s="270"/>
      <c r="K39" s="272"/>
      <c r="L39" s="263"/>
      <c r="R39" s="305"/>
      <c r="S39" s="318"/>
      <c r="T39" s="318"/>
      <c r="U39" s="318"/>
      <c r="V39" s="318"/>
      <c r="W39" s="318"/>
      <c r="X39" s="318"/>
      <c r="Y39" s="318"/>
      <c r="Z39" s="325">
        <f>SUM(Z28:Z38)</f>
        <v>0.3</v>
      </c>
    </row>
    <row r="40" spans="1:26" s="333" customFormat="1">
      <c r="A40" s="335"/>
      <c r="B40" s="336"/>
      <c r="C40" s="351" t="str">
        <f>CONCATENATE("Der Jahresbeitrag entspricht einem Monatsbeitrag in Höhe von ",FIXED($V$27)," Euro.")</f>
        <v>Der Jahresbeitrag entspricht einem Monatsbeitrag in Höhe von 10,96 Euro.</v>
      </c>
      <c r="D40" s="337"/>
      <c r="E40" s="339"/>
      <c r="F40" s="341"/>
      <c r="G40" s="340"/>
      <c r="H40" s="343"/>
      <c r="I40" s="337"/>
      <c r="J40" s="337"/>
      <c r="K40" s="338"/>
      <c r="L40" s="335"/>
      <c r="R40" s="334"/>
      <c r="S40" s="332"/>
      <c r="T40" s="332"/>
      <c r="U40" s="332"/>
      <c r="V40" s="332"/>
      <c r="W40" s="332"/>
      <c r="X40" s="332"/>
      <c r="Y40" s="332"/>
      <c r="Z40" s="349"/>
    </row>
    <row r="41" spans="1:26" s="333" customFormat="1">
      <c r="A41" s="335"/>
      <c r="B41" s="336"/>
      <c r="C41" s="350" t="s">
        <v>168</v>
      </c>
      <c r="D41" s="337"/>
      <c r="E41" s="339"/>
      <c r="F41" s="341"/>
      <c r="G41" s="340"/>
      <c r="H41" s="343"/>
      <c r="I41" s="337"/>
      <c r="J41" s="337"/>
      <c r="K41" s="338"/>
      <c r="L41" s="335"/>
      <c r="R41" s="334"/>
      <c r="S41" s="332"/>
      <c r="T41" s="332"/>
      <c r="U41" s="332"/>
      <c r="V41" s="332"/>
      <c r="W41" s="332"/>
      <c r="X41" s="332"/>
      <c r="Y41" s="332"/>
      <c r="Z41" s="349"/>
    </row>
    <row r="42" spans="1:26" s="333" customFormat="1">
      <c r="A42" s="335"/>
      <c r="B42" s="336"/>
      <c r="C42" s="350" t="s">
        <v>169</v>
      </c>
      <c r="D42" s="337"/>
      <c r="E42" s="339"/>
      <c r="F42" s="341"/>
      <c r="G42" s="340"/>
      <c r="H42" s="343"/>
      <c r="I42" s="337"/>
      <c r="J42" s="337"/>
      <c r="K42" s="338"/>
      <c r="L42" s="335"/>
      <c r="R42" s="334"/>
      <c r="S42" s="332"/>
      <c r="T42" s="332"/>
      <c r="U42" s="332"/>
      <c r="V42" s="332"/>
      <c r="W42" s="332"/>
      <c r="X42" s="332"/>
      <c r="Y42" s="332"/>
      <c r="Z42" s="349"/>
    </row>
    <row r="43" spans="1:26" s="333" customFormat="1">
      <c r="A43" s="335"/>
      <c r="B43" s="336"/>
      <c r="C43" s="337"/>
      <c r="D43" s="337"/>
      <c r="E43" s="339"/>
      <c r="F43" s="341"/>
      <c r="G43" s="340"/>
      <c r="H43" s="343"/>
      <c r="I43" s="337"/>
      <c r="J43" s="337"/>
      <c r="K43" s="338"/>
      <c r="L43" s="335"/>
      <c r="R43" s="334"/>
      <c r="S43" s="332"/>
      <c r="T43" s="332"/>
      <c r="U43" s="332"/>
      <c r="V43" s="332"/>
      <c r="W43" s="332"/>
      <c r="X43" s="332"/>
      <c r="Y43" s="332"/>
      <c r="Z43" s="349"/>
    </row>
    <row r="44" spans="1:26" s="304" customFormat="1" ht="13.5" thickBot="1">
      <c r="A44" s="263"/>
      <c r="B44" s="289"/>
      <c r="C44" s="290"/>
      <c r="D44" s="290"/>
      <c r="E44" s="295"/>
      <c r="F44" s="296"/>
      <c r="G44" s="297"/>
      <c r="H44" s="297"/>
      <c r="I44" s="290"/>
      <c r="J44" s="290"/>
      <c r="K44" s="291"/>
      <c r="L44" s="263"/>
      <c r="R44" s="305"/>
      <c r="S44" s="306"/>
    </row>
    <row r="45" spans="1:26" s="304" customFormat="1" hidden="1">
      <c r="A45" s="263"/>
      <c r="B45" s="266"/>
      <c r="C45" s="267"/>
      <c r="D45" s="267"/>
      <c r="E45" s="267"/>
      <c r="F45" s="267"/>
      <c r="G45" s="267"/>
      <c r="H45" s="267"/>
      <c r="I45" s="267"/>
      <c r="J45" s="267"/>
      <c r="K45" s="268"/>
      <c r="L45" s="263"/>
      <c r="R45" s="305"/>
      <c r="S45" s="306"/>
    </row>
    <row r="46" spans="1:26" s="304" customFormat="1" ht="15.75" hidden="1">
      <c r="A46" s="263"/>
      <c r="B46" s="352" t="s">
        <v>55</v>
      </c>
      <c r="C46" s="353"/>
      <c r="D46" s="353"/>
      <c r="E46" s="353"/>
      <c r="F46" s="353"/>
      <c r="G46" s="353"/>
      <c r="H46" s="353"/>
      <c r="I46" s="353"/>
      <c r="J46" s="353"/>
      <c r="K46" s="354"/>
      <c r="L46" s="263"/>
      <c r="R46" s="305"/>
      <c r="S46" s="306"/>
    </row>
    <row r="47" spans="1:26" s="304" customFormat="1" hidden="1">
      <c r="A47" s="263"/>
      <c r="B47" s="298" t="s">
        <v>149</v>
      </c>
      <c r="C47" s="299"/>
      <c r="D47" s="299"/>
      <c r="E47" s="299"/>
      <c r="F47" s="299"/>
      <c r="G47" s="299"/>
      <c r="H47" s="299"/>
      <c r="I47" s="299"/>
      <c r="J47" s="299"/>
      <c r="K47" s="300"/>
      <c r="L47" s="263"/>
      <c r="R47" s="305"/>
      <c r="S47" s="306"/>
    </row>
    <row r="48" spans="1:26" s="304" customFormat="1" hidden="1">
      <c r="A48" s="263"/>
      <c r="B48" s="298" t="s">
        <v>150</v>
      </c>
      <c r="C48" s="299"/>
      <c r="D48" s="299"/>
      <c r="E48" s="299"/>
      <c r="F48" s="299"/>
      <c r="G48" s="299"/>
      <c r="H48" s="299"/>
      <c r="I48" s="299"/>
      <c r="J48" s="299"/>
      <c r="K48" s="300"/>
      <c r="L48" s="263"/>
      <c r="R48" s="305"/>
      <c r="S48" s="306"/>
    </row>
    <row r="49" spans="1:27" s="304" customFormat="1" hidden="1">
      <c r="A49" s="263"/>
      <c r="B49" s="298" t="s">
        <v>151</v>
      </c>
      <c r="C49" s="299"/>
      <c r="D49" s="299"/>
      <c r="E49" s="299"/>
      <c r="F49" s="299"/>
      <c r="G49" s="299"/>
      <c r="H49" s="299"/>
      <c r="I49" s="299"/>
      <c r="J49" s="299"/>
      <c r="K49" s="300"/>
      <c r="L49" s="263"/>
      <c r="R49" s="305"/>
      <c r="S49" s="306"/>
    </row>
    <row r="50" spans="1:27" s="304" customFormat="1" hidden="1">
      <c r="A50" s="263"/>
      <c r="B50" s="269"/>
      <c r="C50" s="270"/>
      <c r="D50" s="270"/>
      <c r="E50" s="270"/>
      <c r="F50" s="277"/>
      <c r="G50" s="270"/>
      <c r="H50" s="270"/>
      <c r="I50" s="270"/>
      <c r="J50" s="270"/>
      <c r="K50" s="272"/>
      <c r="L50" s="263"/>
      <c r="R50" s="305"/>
      <c r="S50" s="306"/>
    </row>
    <row r="51" spans="1:27" s="304" customFormat="1" hidden="1">
      <c r="A51" s="263"/>
      <c r="B51" s="269"/>
      <c r="C51" s="270"/>
      <c r="D51" s="270"/>
      <c r="E51" s="273" t="s">
        <v>152</v>
      </c>
      <c r="F51" s="301">
        <v>2.5000000000000001E-2</v>
      </c>
      <c r="G51" s="270"/>
      <c r="H51" s="270"/>
      <c r="I51" s="270"/>
      <c r="J51" s="270"/>
      <c r="K51" s="272"/>
      <c r="L51" s="263"/>
      <c r="R51" s="305"/>
      <c r="S51" s="306"/>
    </row>
    <row r="52" spans="1:27" s="304" customFormat="1" hidden="1">
      <c r="A52" s="263"/>
      <c r="B52" s="269"/>
      <c r="C52" s="270"/>
      <c r="D52" s="270"/>
      <c r="E52" s="273"/>
      <c r="F52" s="262"/>
      <c r="G52" s="270"/>
      <c r="H52" s="270"/>
      <c r="I52" s="270"/>
      <c r="J52" s="270"/>
      <c r="K52" s="272"/>
      <c r="L52" s="263"/>
      <c r="R52" s="305"/>
      <c r="S52" s="306"/>
    </row>
    <row r="53" spans="1:27" s="304" customFormat="1" hidden="1">
      <c r="A53" s="263"/>
      <c r="B53" s="269"/>
      <c r="C53" s="270"/>
      <c r="D53" s="270"/>
      <c r="E53" s="273" t="s">
        <v>57</v>
      </c>
      <c r="F53" s="301">
        <v>0.03</v>
      </c>
      <c r="G53" s="270"/>
      <c r="H53" s="270"/>
      <c r="I53" s="270"/>
      <c r="J53" s="270"/>
      <c r="K53" s="272"/>
      <c r="L53" s="263"/>
      <c r="R53" s="305"/>
      <c r="S53" s="306"/>
    </row>
    <row r="54" spans="1:27" s="304" customFormat="1" hidden="1">
      <c r="A54" s="263"/>
      <c r="B54" s="269"/>
      <c r="C54" s="270"/>
      <c r="D54" s="270"/>
      <c r="E54" s="270"/>
      <c r="F54" s="270"/>
      <c r="G54" s="270"/>
      <c r="H54" s="270"/>
      <c r="I54" s="270"/>
      <c r="J54" s="270"/>
      <c r="K54" s="272"/>
      <c r="L54" s="263"/>
      <c r="R54" s="305"/>
      <c r="S54" s="306"/>
    </row>
    <row r="55" spans="1:27" s="304" customFormat="1" hidden="1">
      <c r="A55" s="263"/>
      <c r="B55" s="269"/>
      <c r="C55" s="270"/>
      <c r="D55" s="270"/>
      <c r="E55" s="273" t="s">
        <v>59</v>
      </c>
      <c r="F55" s="308">
        <v>85</v>
      </c>
      <c r="G55" s="270"/>
      <c r="H55" s="270"/>
      <c r="I55" s="270"/>
      <c r="J55" s="270"/>
      <c r="K55" s="272"/>
      <c r="L55" s="263"/>
      <c r="R55" s="305"/>
      <c r="S55" s="306"/>
    </row>
    <row r="56" spans="1:27" s="304" customFormat="1" hidden="1">
      <c r="A56" s="263"/>
      <c r="B56" s="269"/>
      <c r="C56" s="270"/>
      <c r="D56" s="270"/>
      <c r="E56" s="270"/>
      <c r="F56" s="270"/>
      <c r="G56" s="270"/>
      <c r="H56" s="270"/>
      <c r="I56" s="270"/>
      <c r="J56" s="270"/>
      <c r="K56" s="272"/>
      <c r="L56" s="263"/>
      <c r="R56" s="305"/>
      <c r="S56" s="306"/>
    </row>
    <row r="57" spans="1:27" s="304" customFormat="1" hidden="1">
      <c r="A57" s="263"/>
      <c r="B57" s="269"/>
      <c r="C57" s="270"/>
      <c r="D57" s="270"/>
      <c r="E57" s="273" t="s">
        <v>153</v>
      </c>
      <c r="F57" s="292">
        <f>$H$108</f>
        <v>15336.8</v>
      </c>
      <c r="G57" s="302" t="s">
        <v>31</v>
      </c>
      <c r="H57" s="303"/>
      <c r="I57" s="270"/>
      <c r="J57" s="270"/>
      <c r="K57" s="272"/>
      <c r="L57" s="263"/>
      <c r="R57" s="305"/>
      <c r="S57" s="306"/>
    </row>
    <row r="58" spans="1:27" s="304" customFormat="1" hidden="1">
      <c r="A58" s="263"/>
      <c r="B58" s="269"/>
      <c r="C58" s="270"/>
      <c r="D58" s="270"/>
      <c r="E58" s="270"/>
      <c r="F58" s="270"/>
      <c r="G58" s="270"/>
      <c r="H58" s="270"/>
      <c r="I58" s="270"/>
      <c r="J58" s="270"/>
      <c r="K58" s="272"/>
      <c r="L58" s="263"/>
      <c r="R58" s="305"/>
      <c r="S58" s="306"/>
    </row>
    <row r="59" spans="1:27" s="304" customFormat="1" ht="13.5" hidden="1" thickBot="1">
      <c r="A59" s="263"/>
      <c r="B59" s="289"/>
      <c r="C59" s="290"/>
      <c r="D59" s="290"/>
      <c r="E59" s="290"/>
      <c r="F59" s="290"/>
      <c r="G59" s="290"/>
      <c r="H59" s="290"/>
      <c r="I59" s="290"/>
      <c r="J59" s="290"/>
      <c r="K59" s="291"/>
      <c r="L59" s="263"/>
      <c r="R59" s="305"/>
      <c r="S59" s="306"/>
    </row>
    <row r="60" spans="1:27" s="304" customFormat="1">
      <c r="A60" s="263"/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R60" s="305"/>
      <c r="S60" s="306"/>
    </row>
    <row r="61" spans="1:27" s="304" customFormat="1">
      <c r="A61" s="263"/>
      <c r="B61" s="263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R61" s="305"/>
      <c r="S61" s="306"/>
    </row>
    <row r="62" spans="1:27" s="304" customFormat="1">
      <c r="A62" s="335"/>
      <c r="B62" s="344"/>
      <c r="C62" s="342" t="s">
        <v>154</v>
      </c>
      <c r="D62" s="345"/>
      <c r="E62" s="342" t="s">
        <v>165</v>
      </c>
      <c r="F62" s="335"/>
      <c r="G62" s="335"/>
      <c r="H62" s="347"/>
      <c r="I62" s="342" t="s">
        <v>166</v>
      </c>
      <c r="J62" s="342" t="s">
        <v>167</v>
      </c>
      <c r="K62" s="335"/>
      <c r="L62" s="335"/>
      <c r="M62" s="327"/>
      <c r="N62" s="327"/>
      <c r="O62" s="327"/>
      <c r="P62" s="327"/>
      <c r="Q62" s="327"/>
      <c r="R62" s="328"/>
      <c r="S62" s="329"/>
      <c r="T62" s="327"/>
      <c r="U62" s="327"/>
      <c r="V62" s="327"/>
      <c r="W62" s="327"/>
      <c r="X62" s="327"/>
      <c r="Y62" s="327"/>
      <c r="Z62" s="327"/>
      <c r="AA62" s="327"/>
    </row>
    <row r="63" spans="1:27" s="304" customFormat="1">
      <c r="A63" s="263"/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R63" s="305"/>
      <c r="S63" s="306"/>
    </row>
    <row r="64" spans="1:27" s="304" customFormat="1" hidden="1">
      <c r="R64" s="305"/>
      <c r="S64" s="306"/>
    </row>
    <row r="80" spans="18:19" s="304" customFormat="1" hidden="1">
      <c r="R80" s="305"/>
      <c r="S80" s="306"/>
    </row>
    <row r="81" spans="1:27" s="304" customFormat="1" hidden="1">
      <c r="R81" s="305"/>
      <c r="S81" s="306"/>
    </row>
    <row r="82" spans="1:27" s="304" customFormat="1" hidden="1">
      <c r="R82" s="305"/>
      <c r="S82" s="306"/>
    </row>
    <row r="85" spans="1:27" s="304" customFormat="1" hidden="1">
      <c r="R85" s="305"/>
      <c r="S85" s="306"/>
    </row>
    <row r="86" spans="1:27" hidden="1">
      <c r="A86" s="4"/>
      <c r="B86" s="5" t="s">
        <v>0</v>
      </c>
      <c r="D86" s="4"/>
      <c r="E86" s="4"/>
      <c r="G86" s="4"/>
      <c r="H86" s="6" t="s">
        <v>1</v>
      </c>
      <c r="I86" s="7" t="s">
        <v>155</v>
      </c>
      <c r="J86" s="1" t="s">
        <v>129</v>
      </c>
      <c r="K86" s="8" t="s">
        <v>2</v>
      </c>
      <c r="L86" s="9" t="s">
        <v>3</v>
      </c>
      <c r="M86" s="10" t="s">
        <v>4</v>
      </c>
      <c r="N86" s="11"/>
      <c r="O86" s="12"/>
      <c r="P86" s="13"/>
      <c r="Q86" s="14" t="str">
        <f>+B86</f>
        <v>GE· BE· IN Versicherungen VVaG</v>
      </c>
      <c r="R86" s="14"/>
      <c r="S86" s="15"/>
      <c r="T86" s="16"/>
      <c r="U86" s="17"/>
      <c r="V86" s="17"/>
      <c r="W86" s="17"/>
      <c r="X86" s="14"/>
      <c r="Y86" s="18" t="str">
        <f>CONCATENATE("Tarif der Abteilung  ",I86," ")</f>
        <v xml:space="preserve">Tarif der Abteilung  C04 </v>
      </c>
      <c r="Z86" s="18"/>
      <c r="AA86" s="19"/>
    </row>
    <row r="87" spans="1:27" ht="13.5" hidden="1" thickBot="1">
      <c r="A87" s="4"/>
      <c r="B87" s="5"/>
      <c r="C87" s="4"/>
      <c r="D87" s="4"/>
      <c r="E87" s="5"/>
      <c r="F87" s="4"/>
      <c r="G87" s="4"/>
      <c r="H87" s="4"/>
      <c r="I87" s="20" t="s">
        <v>5</v>
      </c>
      <c r="J87" s="21" t="s">
        <v>130</v>
      </c>
      <c r="K87" s="11"/>
      <c r="L87" s="22" t="s">
        <v>6</v>
      </c>
      <c r="M87" s="12"/>
      <c r="N87" s="12"/>
      <c r="O87" s="13"/>
      <c r="P87" s="23"/>
      <c r="Q87" s="23"/>
      <c r="R87" s="24"/>
      <c r="S87" s="25"/>
      <c r="T87" s="26"/>
      <c r="U87" s="26"/>
      <c r="V87" s="26"/>
      <c r="W87" s="23"/>
      <c r="X87" s="27" t="str">
        <f>+I87</f>
        <v xml:space="preserve"> </v>
      </c>
      <c r="Y87" s="18"/>
      <c r="Z87" s="19"/>
    </row>
    <row r="88" spans="1:27" hidden="1">
      <c r="A88" s="4"/>
      <c r="B88" s="28"/>
      <c r="C88" s="28"/>
      <c r="D88" s="28"/>
      <c r="E88" s="28"/>
      <c r="F88" s="28"/>
      <c r="G88" s="28"/>
      <c r="H88" s="28"/>
      <c r="I88" s="28"/>
      <c r="J88" s="21"/>
      <c r="K88" s="19"/>
      <c r="L88" s="29" t="s">
        <v>7</v>
      </c>
      <c r="M88" s="12"/>
      <c r="N88" s="12"/>
      <c r="O88" s="13"/>
      <c r="P88" s="13"/>
      <c r="Q88" s="13"/>
      <c r="R88" s="30"/>
      <c r="S88" s="31"/>
      <c r="T88" s="13"/>
      <c r="U88" s="13"/>
      <c r="V88" s="13"/>
      <c r="W88" s="13"/>
      <c r="X88" s="13"/>
      <c r="Y88" s="13"/>
      <c r="Z88" s="11"/>
    </row>
    <row r="89" spans="1:27" hidden="1">
      <c r="A89" s="4"/>
      <c r="B89" s="4"/>
      <c r="C89" s="20" t="s">
        <v>8</v>
      </c>
      <c r="D89" s="32" t="s">
        <v>9</v>
      </c>
      <c r="E89" s="7"/>
      <c r="F89" s="7"/>
      <c r="G89" s="20" t="s">
        <v>10</v>
      </c>
      <c r="H89" s="7" t="s">
        <v>11</v>
      </c>
      <c r="J89" s="8" t="s">
        <v>12</v>
      </c>
      <c r="K89" s="9" t="s">
        <v>13</v>
      </c>
      <c r="L89" s="33" t="str">
        <f>+H89</f>
        <v>M</v>
      </c>
      <c r="M89" s="34" t="str">
        <f>IF(GS="m","Herr ","Frau ")</f>
        <v xml:space="preserve">Herr </v>
      </c>
      <c r="N89" s="12"/>
      <c r="O89" s="13"/>
      <c r="P89" s="13"/>
      <c r="Q89" s="13"/>
      <c r="R89" s="30"/>
      <c r="S89" s="31"/>
      <c r="T89" s="35" t="str">
        <f>+M89</f>
        <v xml:space="preserve">Herr </v>
      </c>
      <c r="U89" s="36" t="str">
        <f>+D89</f>
        <v>Musterfrau</v>
      </c>
      <c r="V89" s="13"/>
      <c r="W89" s="13"/>
      <c r="X89" s="13"/>
      <c r="Y89" s="13"/>
      <c r="Z89" s="11"/>
    </row>
    <row r="90" spans="1:27" hidden="1">
      <c r="A90" s="4"/>
      <c r="B90" s="4"/>
      <c r="C90" s="20" t="s">
        <v>14</v>
      </c>
      <c r="D90" s="7">
        <f>D12</f>
        <v>1</v>
      </c>
      <c r="E90" s="7">
        <f>E12</f>
        <v>11</v>
      </c>
      <c r="F90" s="7">
        <f>F12</f>
        <v>1992</v>
      </c>
      <c r="G90" s="4"/>
      <c r="H90" s="4"/>
      <c r="I90" s="4"/>
      <c r="J90" s="37"/>
      <c r="K90" s="11"/>
      <c r="L90" s="11" t="s">
        <v>15</v>
      </c>
      <c r="M90" s="11" t="s">
        <v>11</v>
      </c>
      <c r="N90" s="12"/>
      <c r="O90" s="13"/>
      <c r="P90" s="13"/>
      <c r="Q90" s="13"/>
      <c r="R90" s="30" t="str">
        <f>+C90</f>
        <v xml:space="preserve">Geburtsdatum: </v>
      </c>
      <c r="S90" s="31"/>
      <c r="T90" s="38"/>
      <c r="U90" s="39">
        <f>DATE(F90,E90,D90)</f>
        <v>33909</v>
      </c>
      <c r="V90" s="13"/>
      <c r="W90" s="13"/>
      <c r="X90" s="13"/>
      <c r="Y90" s="13"/>
      <c r="Z90" s="11"/>
    </row>
    <row r="91" spans="1:27" hidden="1">
      <c r="A91" s="4"/>
      <c r="B91" s="4"/>
      <c r="C91" s="20" t="s">
        <v>16</v>
      </c>
      <c r="D91" s="7">
        <f>D15</f>
        <v>1</v>
      </c>
      <c r="E91" s="7">
        <f>E15</f>
        <v>10</v>
      </c>
      <c r="F91" s="7">
        <f>F15</f>
        <v>2024</v>
      </c>
      <c r="G91" s="20" t="s">
        <v>17</v>
      </c>
      <c r="H91" s="40">
        <f>IF(L91&lt;18,18,ROUND(L91+M91/12,0))</f>
        <v>32</v>
      </c>
      <c r="I91" s="5"/>
      <c r="J91" s="37"/>
      <c r="K91" s="41" t="s">
        <v>18</v>
      </c>
      <c r="L91" s="42">
        <f>+F91-F90</f>
        <v>32</v>
      </c>
      <c r="M91" s="43">
        <f>+E91-E90-(IF(D91&lt;D90,1,0))</f>
        <v>-1</v>
      </c>
      <c r="N91" s="12"/>
      <c r="O91" s="13"/>
      <c r="P91" s="13"/>
      <c r="Q91" s="13"/>
      <c r="R91" s="30" t="str">
        <f>+C91</f>
        <v xml:space="preserve">Eintritt: </v>
      </c>
      <c r="S91" s="31"/>
      <c r="T91" s="13"/>
      <c r="U91" s="39">
        <f>DATE(F91,E91,D91)</f>
        <v>45566</v>
      </c>
      <c r="V91" s="44">
        <f>+X_EIN</f>
        <v>32</v>
      </c>
      <c r="W91" s="45" t="str">
        <f>+W96</f>
        <v xml:space="preserve">     Versicherungssumme</v>
      </c>
      <c r="X91" s="38"/>
      <c r="Y91" s="38"/>
      <c r="Z91" s="11"/>
    </row>
    <row r="92" spans="1:27" hidden="1">
      <c r="A92" s="4"/>
      <c r="B92" s="4"/>
      <c r="C92" s="20" t="s">
        <v>19</v>
      </c>
      <c r="D92" s="7">
        <f>F20/500</f>
        <v>16</v>
      </c>
      <c r="E92" s="4"/>
      <c r="F92" s="4"/>
      <c r="G92" s="20" t="s">
        <v>20</v>
      </c>
      <c r="H92" s="7">
        <f>F18</f>
        <v>85</v>
      </c>
      <c r="I92" s="4"/>
      <c r="J92" s="37"/>
      <c r="K92" s="41" t="s">
        <v>21</v>
      </c>
      <c r="L92" s="42">
        <f>IF(Tarif="F",IF(H92&lt;40,40,(MIN(85,+ROUND(H92/5,0)*5))),IF(OR(H92=60,H92=63),H92,65))</f>
        <v>85</v>
      </c>
      <c r="M92" s="43"/>
      <c r="N92" s="12"/>
      <c r="O92" s="13"/>
      <c r="P92" s="13"/>
      <c r="Q92" s="13"/>
      <c r="R92" s="30" t="str">
        <f>+C92</f>
        <v>Anteile</v>
      </c>
      <c r="S92" s="31"/>
      <c r="T92" s="13"/>
      <c r="U92" s="46"/>
      <c r="V92" s="44">
        <f>+X_END</f>
        <v>85</v>
      </c>
      <c r="W92" s="47">
        <f>+VS</f>
        <v>8000</v>
      </c>
      <c r="X92" s="48" t="s">
        <v>22</v>
      </c>
      <c r="Y92" s="48"/>
      <c r="Z92" s="11"/>
    </row>
    <row r="93" spans="1:27" ht="13.5" hidden="1" thickBot="1">
      <c r="A93" s="4"/>
      <c r="B93" s="4"/>
      <c r="C93" s="4"/>
      <c r="D93" s="4"/>
      <c r="E93" s="4"/>
      <c r="F93" s="4"/>
      <c r="G93" s="4"/>
      <c r="H93" s="49"/>
      <c r="I93" s="4"/>
      <c r="J93" s="37"/>
      <c r="K93" s="41"/>
      <c r="L93" s="12"/>
      <c r="M93" s="12"/>
      <c r="N93" s="12"/>
      <c r="O93" s="13"/>
      <c r="P93" s="13"/>
      <c r="Q93" s="13"/>
      <c r="R93" s="30" t="str">
        <f>+G97</f>
        <v xml:space="preserve">jährlicher Beitrag: </v>
      </c>
      <c r="S93" s="31"/>
      <c r="T93" s="38"/>
      <c r="U93" s="13"/>
      <c r="V93" s="50">
        <f>+JBeitr</f>
        <v>155.52000000000001</v>
      </c>
      <c r="W93" s="13"/>
      <c r="X93" s="13"/>
      <c r="Y93" s="13"/>
      <c r="Z93" s="11"/>
    </row>
    <row r="94" spans="1:27" hidden="1">
      <c r="A94" s="4"/>
      <c r="B94" s="4"/>
      <c r="C94" s="51" t="s">
        <v>23</v>
      </c>
      <c r="D94" s="52">
        <v>31</v>
      </c>
      <c r="E94" s="52">
        <v>3</v>
      </c>
      <c r="F94" s="52">
        <v>2032</v>
      </c>
      <c r="G94" s="53" t="s">
        <v>17</v>
      </c>
      <c r="H94" s="54">
        <f>ROUND(L94+M94/12,0)</f>
        <v>40</v>
      </c>
      <c r="I94" s="55" t="s">
        <v>24</v>
      </c>
      <c r="J94" s="56"/>
      <c r="K94" s="57" t="s">
        <v>25</v>
      </c>
      <c r="L94" s="42">
        <f>+X_EIN+H95</f>
        <v>39</v>
      </c>
      <c r="M94" s="43">
        <f>+I95</f>
        <v>6</v>
      </c>
      <c r="N94" s="12"/>
      <c r="O94" s="13"/>
      <c r="P94" s="13"/>
      <c r="Q94" s="13"/>
      <c r="R94" s="30" t="str">
        <f>+C94</f>
        <v xml:space="preserve">Stichtag: </v>
      </c>
      <c r="S94" s="31"/>
      <c r="T94" s="13"/>
      <c r="U94" s="39">
        <f>DATE(F94,E94,D94)</f>
        <v>48304</v>
      </c>
      <c r="V94" s="58"/>
      <c r="W94" s="13"/>
      <c r="X94" s="13"/>
      <c r="Y94" s="13"/>
      <c r="Z94" s="11"/>
    </row>
    <row r="95" spans="1:27" ht="13.5" hidden="1" thickBot="1">
      <c r="A95" s="4"/>
      <c r="B95" s="4"/>
      <c r="C95" s="59"/>
      <c r="D95" s="4"/>
      <c r="E95" s="4"/>
      <c r="F95" s="4"/>
      <c r="G95" s="20" t="s">
        <v>26</v>
      </c>
      <c r="H95" s="40">
        <f>ROUNDDOWN(L95+M95/12,0)</f>
        <v>7</v>
      </c>
      <c r="I95" s="60">
        <f>+(L95+M95/12-H95)*12</f>
        <v>6</v>
      </c>
      <c r="J95" s="37"/>
      <c r="K95" s="41" t="s">
        <v>27</v>
      </c>
      <c r="L95" s="42">
        <f>+F94-F91</f>
        <v>8</v>
      </c>
      <c r="M95" s="43">
        <f>+E94-E91-(IF((D94-D91)&gt;0,-1,0))</f>
        <v>-6</v>
      </c>
      <c r="N95" s="12"/>
      <c r="O95" s="13"/>
      <c r="P95" s="13"/>
      <c r="Q95" s="13"/>
      <c r="R95" s="30"/>
      <c r="S95" s="31"/>
      <c r="T95" s="13"/>
      <c r="U95" s="13"/>
      <c r="V95" s="58"/>
      <c r="W95" s="61"/>
      <c r="X95" s="13"/>
      <c r="Y95" s="13"/>
      <c r="Z95" s="11"/>
    </row>
    <row r="96" spans="1:27" ht="13.5" hidden="1" thickTop="1">
      <c r="A96" s="4"/>
      <c r="B96" s="4"/>
      <c r="C96" s="62"/>
      <c r="D96" s="63" t="str">
        <f>+IF(OR(D94&gt;=30,AND(D94&gt;=28,E94=2))," ","Monatsende eingeben")</f>
        <v xml:space="preserve"> </v>
      </c>
      <c r="E96" s="4"/>
      <c r="F96" s="4"/>
      <c r="G96" s="4"/>
      <c r="H96" s="20"/>
      <c r="I96" s="64"/>
      <c r="J96" s="37"/>
      <c r="K96" s="19"/>
      <c r="L96" s="12"/>
      <c r="M96" s="12"/>
      <c r="N96" s="12"/>
      <c r="O96" s="13"/>
      <c r="P96" s="65"/>
      <c r="Q96" s="66"/>
      <c r="R96" s="66"/>
      <c r="S96" s="67"/>
      <c r="T96" s="66"/>
      <c r="U96" s="68"/>
      <c r="V96" s="69" t="s">
        <v>28</v>
      </c>
      <c r="W96" s="70" t="s">
        <v>29</v>
      </c>
      <c r="X96" s="71"/>
      <c r="Y96" s="13"/>
      <c r="Z96" s="11"/>
    </row>
    <row r="97" spans="1:26" hidden="1">
      <c r="A97" s="4"/>
      <c r="B97" s="4"/>
      <c r="C97" s="62" t="str">
        <f>+IF(H97=L97," ",CONCATENATE("korrigierter Beitrag   ",L97,",00 €"))</f>
        <v xml:space="preserve"> </v>
      </c>
      <c r="D97" s="4"/>
      <c r="E97" s="4"/>
      <c r="F97" s="4"/>
      <c r="G97" s="20" t="s">
        <v>30</v>
      </c>
      <c r="H97" s="260">
        <f>JBeitr</f>
        <v>155.52000000000001</v>
      </c>
      <c r="I97" s="72" t="s">
        <v>31</v>
      </c>
      <c r="J97" s="37"/>
      <c r="K97" s="41" t="s">
        <v>32</v>
      </c>
      <c r="L97" s="73">
        <f>IF(I86="C03",Berechn_!L6,Berechn_!M6)</f>
        <v>155.52000000000001</v>
      </c>
      <c r="M97" s="74">
        <f>D92</f>
        <v>16</v>
      </c>
      <c r="N97" s="12"/>
      <c r="O97" s="13"/>
      <c r="P97" s="75" t="s">
        <v>33</v>
      </c>
      <c r="Q97" s="16" t="s">
        <v>34</v>
      </c>
      <c r="R97" s="15" t="s">
        <v>35</v>
      </c>
      <c r="S97" s="76"/>
      <c r="T97" s="18" t="s">
        <v>36</v>
      </c>
      <c r="U97" s="77" t="s">
        <v>37</v>
      </c>
      <c r="V97" s="78" t="s">
        <v>38</v>
      </c>
      <c r="W97" s="78" t="s">
        <v>39</v>
      </c>
      <c r="X97" s="79" t="s">
        <v>40</v>
      </c>
      <c r="Y97" s="17"/>
      <c r="Z97" s="11"/>
    </row>
    <row r="98" spans="1:26" hidden="1">
      <c r="A98" s="4"/>
      <c r="B98" s="4"/>
      <c r="C98" s="62" t="s">
        <v>41</v>
      </c>
      <c r="D98" s="4"/>
      <c r="E98" s="4"/>
      <c r="F98" s="4"/>
      <c r="G98" s="20" t="s">
        <v>42</v>
      </c>
      <c r="H98" s="80">
        <v>0</v>
      </c>
      <c r="I98" s="72" t="s">
        <v>31</v>
      </c>
      <c r="J98" s="37"/>
      <c r="K98" s="19"/>
      <c r="L98" s="12"/>
      <c r="M98" s="12"/>
      <c r="N98" s="12"/>
      <c r="O98" s="13"/>
      <c r="P98" s="81"/>
      <c r="Q98" s="16"/>
      <c r="R98" s="18" t="s">
        <v>43</v>
      </c>
      <c r="S98" s="76"/>
      <c r="T98" s="18" t="s">
        <v>44</v>
      </c>
      <c r="U98" s="77" t="s">
        <v>45</v>
      </c>
      <c r="V98" s="78" t="s">
        <v>46</v>
      </c>
      <c r="W98" s="78" t="s">
        <v>47</v>
      </c>
      <c r="X98" s="79" t="s">
        <v>48</v>
      </c>
      <c r="Y98" s="78"/>
      <c r="Z98" s="11"/>
    </row>
    <row r="99" spans="1:26" hidden="1">
      <c r="A99" s="4"/>
      <c r="B99" s="4"/>
      <c r="C99" s="82" t="s">
        <v>49</v>
      </c>
      <c r="D99" s="4"/>
      <c r="E99" s="4"/>
      <c r="F99" s="4"/>
      <c r="G99" s="20" t="s">
        <v>50</v>
      </c>
      <c r="H99" s="83">
        <f>IF(VS&lt;=8000,VS,"Fehler")</f>
        <v>8000</v>
      </c>
      <c r="I99" s="72" t="s">
        <v>31</v>
      </c>
      <c r="J99" s="37"/>
      <c r="K99" s="19"/>
      <c r="L99" s="12"/>
      <c r="M99" s="12"/>
      <c r="N99" s="12"/>
      <c r="O99" s="13"/>
      <c r="P99" s="84">
        <f>DATE(F94,E94,D94)</f>
        <v>48304</v>
      </c>
      <c r="Q99" s="85"/>
      <c r="R99" s="86"/>
      <c r="S99" s="87"/>
      <c r="T99" s="17"/>
      <c r="U99" s="88">
        <f>+P99</f>
        <v>48304</v>
      </c>
      <c r="V99" s="89">
        <f>+P99</f>
        <v>48304</v>
      </c>
      <c r="W99" s="90">
        <f>+P99</f>
        <v>48304</v>
      </c>
      <c r="X99" s="91" t="str">
        <f>+Berechn_!U9</f>
        <v xml:space="preserve">2,5% / 3% </v>
      </c>
      <c r="Y99" s="78"/>
      <c r="Z99" s="11"/>
    </row>
    <row r="100" spans="1:26" ht="13.5" hidden="1" thickBot="1">
      <c r="A100" s="4"/>
      <c r="B100" s="4"/>
      <c r="C100" s="92">
        <f>+U94</f>
        <v>48304</v>
      </c>
      <c r="D100" s="4"/>
      <c r="E100" s="4"/>
      <c r="F100" s="4"/>
      <c r="G100" s="20" t="s">
        <v>51</v>
      </c>
      <c r="H100" s="83">
        <f>+Berechn_!T6</f>
        <v>573.4026676739237</v>
      </c>
      <c r="I100" s="72" t="s">
        <v>31</v>
      </c>
      <c r="J100" s="37"/>
      <c r="K100" s="19"/>
      <c r="L100" s="12"/>
      <c r="M100" s="12"/>
      <c r="N100" s="12"/>
      <c r="O100" s="13"/>
      <c r="P100" s="93"/>
      <c r="Q100" s="94"/>
      <c r="R100" s="95"/>
      <c r="S100" s="96"/>
      <c r="T100" s="97"/>
      <c r="U100" s="98"/>
      <c r="V100" s="97"/>
      <c r="W100" s="97"/>
      <c r="X100" s="99">
        <f>+H104</f>
        <v>0</v>
      </c>
      <c r="Y100" s="100"/>
      <c r="Z100" s="19"/>
    </row>
    <row r="101" spans="1:26" ht="13.5" hidden="1" thickTop="1">
      <c r="A101" s="4"/>
      <c r="B101" s="4"/>
      <c r="C101" s="62"/>
      <c r="D101" s="4"/>
      <c r="E101" s="4"/>
      <c r="F101" s="4"/>
      <c r="G101" s="20" t="s">
        <v>52</v>
      </c>
      <c r="H101" s="83">
        <f>+Berechn_!Y6</f>
        <v>544.73</v>
      </c>
      <c r="I101" s="72" t="s">
        <v>31</v>
      </c>
      <c r="J101" s="37"/>
      <c r="K101" s="19"/>
      <c r="L101" s="42">
        <f>+$L$94</f>
        <v>39</v>
      </c>
      <c r="M101" s="43">
        <f>+$F$94</f>
        <v>2032</v>
      </c>
      <c r="N101" s="12"/>
      <c r="O101" s="13"/>
      <c r="P101" s="101">
        <f>+$F$94</f>
        <v>2032</v>
      </c>
      <c r="Q101" s="102">
        <f>+L101</f>
        <v>39</v>
      </c>
      <c r="R101" s="103">
        <f>+SUM(L95-IF($M$95&lt;0,1,0))</f>
        <v>7</v>
      </c>
      <c r="S101" s="104" t="str">
        <f>CONCATENATE("+",+M94,"/12")</f>
        <v>+6/12</v>
      </c>
      <c r="T101" s="105">
        <f t="shared" ref="T101:T108" si="6">IF(Q101&lt;X_EIN,0,IF(Q101&gt;=X_END,0,+JBeitr))</f>
        <v>155.52000000000001</v>
      </c>
      <c r="U101" s="106">
        <f>+SUMIF(Berechn_!$A$10:$A$100,Q101,Berechn_!$T$10:$T$100)</f>
        <v>573.4026676739237</v>
      </c>
      <c r="V101" s="105">
        <f>+SUMIF(Berechn_!$A$10:$A$100,Q101,Berechn_!$Y$10:$Y$100)</f>
        <v>544.73</v>
      </c>
      <c r="W101" s="105">
        <f>+SUMIF(Berechn_!$A$10:$A$100,Q101,Berechn_!$AB$10:$AB$100)</f>
        <v>1043.1601337207999</v>
      </c>
      <c r="X101" s="107">
        <f>IF(OR(Q101&gt;$L$107,Q101&lt;Alter),0,+SUMIF(Berechn_!$A$10:$A$100,Q101,Berechn_!$W$10:$W$100))</f>
        <v>0</v>
      </c>
      <c r="Y101" s="108"/>
      <c r="Z101" s="19"/>
    </row>
    <row r="102" spans="1:26" hidden="1">
      <c r="A102" s="4"/>
      <c r="B102" s="4"/>
      <c r="C102" s="62"/>
      <c r="D102" s="4"/>
      <c r="E102" s="4"/>
      <c r="F102" s="4"/>
      <c r="G102" s="20" t="s">
        <v>53</v>
      </c>
      <c r="H102" s="83">
        <f>+Berechn_!AB6</f>
        <v>1043.1601337207999</v>
      </c>
      <c r="I102" s="72" t="s">
        <v>31</v>
      </c>
      <c r="J102" s="37"/>
      <c r="K102" s="19"/>
      <c r="L102" s="12"/>
      <c r="M102" s="12"/>
      <c r="N102" s="12"/>
      <c r="O102" s="13"/>
      <c r="P102" s="109">
        <f t="shared" ref="P102:R108" si="7">+P101+1</f>
        <v>2033</v>
      </c>
      <c r="Q102" s="102">
        <f t="shared" si="7"/>
        <v>40</v>
      </c>
      <c r="R102" s="110">
        <f t="shared" si="7"/>
        <v>8</v>
      </c>
      <c r="S102" s="104" t="str">
        <f t="shared" ref="S102:S108" si="8">+S101</f>
        <v>+6/12</v>
      </c>
      <c r="T102" s="105">
        <f t="shared" si="6"/>
        <v>155.52000000000001</v>
      </c>
      <c r="U102" s="106">
        <f>+SUMIF(Berechn_!$A$10:$A$100,Q102,Berechn_!$T$10:$T$100)</f>
        <v>700.7813059569238</v>
      </c>
      <c r="V102" s="105">
        <f>+SUMIF(Berechn_!$A$10:$A$100,Q102,Berechn_!$Y$10:$Y$100)</f>
        <v>665.74</v>
      </c>
      <c r="W102" s="105">
        <f>+SUMIF(Berechn_!$A$10:$A$100,Q102,Berechn_!$AB$10:$AB$100)</f>
        <v>1255.8110004110836</v>
      </c>
      <c r="X102" s="111">
        <f>IF(OR(Q102&gt;$L$107,Q102&lt;Alter),0,+SUMIF(Berechn_!$A$10:$A$100,Q102,Berechn_!$W$10:$W$100))</f>
        <v>8000</v>
      </c>
      <c r="Y102" s="108"/>
      <c r="Z102" s="19"/>
    </row>
    <row r="103" spans="1:26" hidden="1">
      <c r="A103" s="4"/>
      <c r="B103" s="4"/>
      <c r="C103" s="62"/>
      <c r="D103" s="4"/>
      <c r="E103" s="4"/>
      <c r="F103" s="4"/>
      <c r="G103" s="4"/>
      <c r="H103" s="4"/>
      <c r="I103" s="72"/>
      <c r="J103" s="37"/>
      <c r="K103" s="19"/>
      <c r="L103" s="12"/>
      <c r="M103" s="12"/>
      <c r="N103" s="12"/>
      <c r="O103" s="13"/>
      <c r="P103" s="112">
        <f t="shared" si="7"/>
        <v>2034</v>
      </c>
      <c r="Q103" s="113">
        <f t="shared" si="7"/>
        <v>41</v>
      </c>
      <c r="R103" s="114">
        <f t="shared" si="7"/>
        <v>9</v>
      </c>
      <c r="S103" s="115" t="str">
        <f t="shared" si="8"/>
        <v>+6/12</v>
      </c>
      <c r="T103" s="108">
        <f t="shared" si="6"/>
        <v>155.52000000000001</v>
      </c>
      <c r="U103" s="106">
        <f>+SUMIF(Berechn_!$A$10:$A$100,Q103,Berechn_!$T$10:$T$100)</f>
        <v>829.75735154818278</v>
      </c>
      <c r="V103" s="105">
        <f>+SUMIF(Berechn_!$A$10:$A$100,Q103,Berechn_!$Y$10:$Y$100)</f>
        <v>788.27</v>
      </c>
      <c r="W103" s="105">
        <f>+SUMIF(Berechn_!$A$10:$A$100,Q103,Berechn_!$AB$10:$AB$100)</f>
        <v>1464.7466202948351</v>
      </c>
      <c r="X103" s="107">
        <f>IF(OR(Q103&gt;$L$107,Q103&lt;Alter),0,+SUMIF(Berechn_!$A$10:$A$100,Q103,Berechn_!$W$10:$W$100))</f>
        <v>8016.39</v>
      </c>
      <c r="Y103" s="108"/>
      <c r="Z103" s="19"/>
    </row>
    <row r="104" spans="1:26" ht="13.5" hidden="1" thickBot="1">
      <c r="A104" s="4"/>
      <c r="B104" s="4"/>
      <c r="C104" s="116"/>
      <c r="D104" s="117"/>
      <c r="E104" s="117"/>
      <c r="F104" s="117"/>
      <c r="G104" s="118" t="s">
        <v>54</v>
      </c>
      <c r="H104" s="119">
        <v>0</v>
      </c>
      <c r="I104" s="120" t="s">
        <v>31</v>
      </c>
      <c r="J104" s="37"/>
      <c r="K104" s="19"/>
      <c r="L104" s="12"/>
      <c r="M104" s="12"/>
      <c r="N104" s="12"/>
      <c r="O104" s="13"/>
      <c r="P104" s="112">
        <f t="shared" si="7"/>
        <v>2035</v>
      </c>
      <c r="Q104" s="113">
        <f t="shared" si="7"/>
        <v>42</v>
      </c>
      <c r="R104" s="114">
        <f t="shared" si="7"/>
        <v>10</v>
      </c>
      <c r="S104" s="115" t="str">
        <f t="shared" si="8"/>
        <v>+6/12</v>
      </c>
      <c r="T104" s="108">
        <f t="shared" si="6"/>
        <v>155.52000000000001</v>
      </c>
      <c r="U104" s="106">
        <f>+SUMIF(Berechn_!$A$10:$A$100,Q104,Berechn_!$T$10:$T$100)</f>
        <v>960.27824989648695</v>
      </c>
      <c r="V104" s="105">
        <f>+SUMIF(Berechn_!$A$10:$A$100,Q104,Berechn_!$Y$10:$Y$100)</f>
        <v>912.26</v>
      </c>
      <c r="W104" s="105">
        <f>+SUMIF(Berechn_!$A$10:$A$100,Q104,Berechn_!$AB$10:$AB$100)</f>
        <v>1669.9199534712961</v>
      </c>
      <c r="X104" s="107">
        <f>IF(OR(Q104&gt;$L$107,Q104&lt;Alter),0,+SUMIF(Berechn_!$A$10:$A$100,Q104,Berechn_!$W$10:$W$100))</f>
        <v>8036.58</v>
      </c>
      <c r="Y104" s="108"/>
      <c r="Z104" s="19"/>
    </row>
    <row r="105" spans="1:26" hidden="1">
      <c r="A105" s="4"/>
      <c r="B105" s="4"/>
      <c r="C105" s="121" t="s">
        <v>55</v>
      </c>
      <c r="D105" s="28"/>
      <c r="E105" s="28"/>
      <c r="F105" s="28"/>
      <c r="G105" s="53" t="s">
        <v>56</v>
      </c>
      <c r="H105" s="122">
        <f>F51</f>
        <v>2.5000000000000001E-2</v>
      </c>
      <c r="I105" s="123"/>
      <c r="J105" s="37"/>
      <c r="K105" s="19"/>
      <c r="L105" s="12"/>
      <c r="M105" s="12"/>
      <c r="N105" s="12"/>
      <c r="O105" s="13"/>
      <c r="P105" s="112">
        <f t="shared" si="7"/>
        <v>2036</v>
      </c>
      <c r="Q105" s="113">
        <f t="shared" si="7"/>
        <v>43</v>
      </c>
      <c r="R105" s="114">
        <f t="shared" si="7"/>
        <v>11</v>
      </c>
      <c r="S105" s="115" t="str">
        <f t="shared" si="8"/>
        <v>+6/12</v>
      </c>
      <c r="T105" s="108">
        <f t="shared" si="6"/>
        <v>155.52000000000001</v>
      </c>
      <c r="U105" s="106">
        <f>+SUMIF(Berechn_!$A$10:$A$100,Q105,Berechn_!$T$10:$T$100)</f>
        <v>1092.2709121351929</v>
      </c>
      <c r="V105" s="105">
        <f>+SUMIF(Berechn_!$A$10:$A$100,Q105,Berechn_!$Y$10:$Y$100)</f>
        <v>1037.6600000000001</v>
      </c>
      <c r="W105" s="105">
        <f>+SUMIF(Berechn_!$A$10:$A$100,Q105,Berechn_!$AB$10:$AB$100)</f>
        <v>1871.3173388852879</v>
      </c>
      <c r="X105" s="107">
        <f>IF(OR(Q105&gt;$L$107,Q105&lt;Alter),0,+SUMIF(Berechn_!$A$10:$A$100,Q105,Berechn_!$W$10:$W$100))</f>
        <v>8060.72</v>
      </c>
      <c r="Y105" s="108"/>
      <c r="Z105" s="19"/>
    </row>
    <row r="106" spans="1:26" hidden="1">
      <c r="A106" s="4"/>
      <c r="B106" s="4"/>
      <c r="C106" s="62"/>
      <c r="D106" s="4"/>
      <c r="E106" s="4"/>
      <c r="F106" s="4"/>
      <c r="G106" s="20" t="s">
        <v>57</v>
      </c>
      <c r="H106" s="124">
        <f>F53</f>
        <v>0.03</v>
      </c>
      <c r="I106" s="64"/>
      <c r="J106" s="37"/>
      <c r="K106" s="19"/>
      <c r="L106" s="12"/>
      <c r="M106" s="12"/>
      <c r="N106" s="12"/>
      <c r="O106" s="13"/>
      <c r="P106" s="112">
        <f t="shared" si="7"/>
        <v>2037</v>
      </c>
      <c r="Q106" s="113">
        <f t="shared" si="7"/>
        <v>44</v>
      </c>
      <c r="R106" s="114">
        <f t="shared" si="7"/>
        <v>12</v>
      </c>
      <c r="S106" s="115" t="str">
        <f t="shared" si="8"/>
        <v>+6/12</v>
      </c>
      <c r="T106" s="108">
        <f t="shared" si="6"/>
        <v>155.52000000000001</v>
      </c>
      <c r="U106" s="106">
        <f>+SUMIF(Berechn_!$A$10:$A$100,Q106,Berechn_!$T$10:$T$100)</f>
        <v>1225.5649023875951</v>
      </c>
      <c r="V106" s="105">
        <f>+SUMIF(Berechn_!$A$10:$A$100,Q106,Berechn_!$Y$10:$Y$100)</f>
        <v>1164.29</v>
      </c>
      <c r="W106" s="105">
        <f>+SUMIF(Berechn_!$A$10:$A$100,Q106,Berechn_!$AB$10:$AB$100)</f>
        <v>2068.726485155054</v>
      </c>
      <c r="X106" s="107">
        <f>IF(OR(Q106&gt;$L$107,Q106&lt;Alter),0,+SUMIF(Berechn_!$A$10:$A$100,Q106,Berechn_!$W$10:$W$100))</f>
        <v>8088.96</v>
      </c>
      <c r="Y106" s="108"/>
      <c r="Z106" s="19"/>
    </row>
    <row r="107" spans="1:26" hidden="1">
      <c r="A107" s="4"/>
      <c r="B107" s="4"/>
      <c r="C107" s="82" t="s">
        <v>58</v>
      </c>
      <c r="D107" s="4"/>
      <c r="E107" s="4"/>
      <c r="F107" s="4"/>
      <c r="G107" s="20" t="s">
        <v>59</v>
      </c>
      <c r="H107" s="7">
        <f>F55</f>
        <v>85</v>
      </c>
      <c r="I107" s="64"/>
      <c r="J107" s="37"/>
      <c r="K107" s="19"/>
      <c r="L107" s="42">
        <f>IF(Tarif="F",+H107,H92)</f>
        <v>85</v>
      </c>
      <c r="M107" s="12"/>
      <c r="N107" s="12"/>
      <c r="O107" s="13"/>
      <c r="P107" s="112">
        <f t="shared" si="7"/>
        <v>2038</v>
      </c>
      <c r="Q107" s="113">
        <f t="shared" si="7"/>
        <v>45</v>
      </c>
      <c r="R107" s="114">
        <f t="shared" si="7"/>
        <v>13</v>
      </c>
      <c r="S107" s="115" t="str">
        <f t="shared" si="8"/>
        <v>+6/12</v>
      </c>
      <c r="T107" s="108">
        <f t="shared" si="6"/>
        <v>155.52000000000001</v>
      </c>
      <c r="U107" s="106">
        <f>+SUMIF(Berechn_!$A$10:$A$100,Q107,Berechn_!$T$10:$T$100)</f>
        <v>1360.0542562913092</v>
      </c>
      <c r="V107" s="105">
        <f>+SUMIF(Berechn_!$A$10:$A$100,Q107,Berechn_!$Y$10:$Y$100)</f>
        <v>1292.05</v>
      </c>
      <c r="W107" s="105">
        <f>+SUMIF(Berechn_!$A$10:$A$100,Q107,Berechn_!$AB$10:$AB$100)</f>
        <v>2262.0909082431249</v>
      </c>
      <c r="X107" s="107">
        <f>IF(OR(Q107&gt;$L$107,Q107&lt;Alter),0,+SUMIF(Berechn_!$A$10:$A$100,Q107,Berechn_!$W$10:$W$100))</f>
        <v>8121.46</v>
      </c>
      <c r="Y107" s="108"/>
      <c r="Z107" s="19"/>
    </row>
    <row r="108" spans="1:26" ht="13.5" hidden="1" thickBot="1">
      <c r="A108" s="4"/>
      <c r="B108" s="4"/>
      <c r="C108" s="116"/>
      <c r="D108" s="117"/>
      <c r="E108" s="117"/>
      <c r="F108" s="117"/>
      <c r="G108" s="118" t="str">
        <f>CONCATENATE("VS mit Überschußbeteiligung (mit ",+L107," ): ")</f>
        <v xml:space="preserve">VS mit Überschußbeteiligung (mit 85 ): </v>
      </c>
      <c r="H108" s="125">
        <f>+Berechn_!W7</f>
        <v>15336.8</v>
      </c>
      <c r="I108" s="120" t="s">
        <v>31</v>
      </c>
      <c r="J108" s="37"/>
      <c r="K108" s="19"/>
      <c r="L108" s="12"/>
      <c r="M108" s="12"/>
      <c r="N108" s="12"/>
      <c r="O108" s="13"/>
      <c r="P108" s="112">
        <f t="shared" si="7"/>
        <v>2039</v>
      </c>
      <c r="Q108" s="113">
        <f t="shared" si="7"/>
        <v>46</v>
      </c>
      <c r="R108" s="114">
        <f t="shared" si="7"/>
        <v>14</v>
      </c>
      <c r="S108" s="115" t="str">
        <f t="shared" si="8"/>
        <v>+6/12</v>
      </c>
      <c r="T108" s="108">
        <f t="shared" si="6"/>
        <v>155.52000000000001</v>
      </c>
      <c r="U108" s="106">
        <f>+SUMIF(Berechn_!$A$10:$A$100,Q108,Berechn_!$T$10:$T$100)</f>
        <v>1495.7145977269358</v>
      </c>
      <c r="V108" s="105">
        <f>+SUMIF(Berechn_!$A$10:$A$100,Q108,Berechn_!$Y$10:$Y$100)</f>
        <v>1420.93</v>
      </c>
      <c r="W108" s="105">
        <f>+SUMIF(Berechn_!$A$10:$A$100,Q108,Berechn_!$AB$10:$AB$100)</f>
        <v>2451.5047945952711</v>
      </c>
      <c r="X108" s="107">
        <f>IF(OR(Q108&gt;$L$107,Q108&lt;Alter),0,+SUMIF(Berechn_!$A$10:$A$100,Q108,Berechn_!$W$10:$W$100))</f>
        <v>8158.38</v>
      </c>
      <c r="Y108" s="108"/>
      <c r="Z108" s="19"/>
    </row>
    <row r="109" spans="1:26" hidden="1">
      <c r="A109" s="4"/>
      <c r="B109" s="4"/>
      <c r="C109" s="4"/>
      <c r="D109" s="4"/>
      <c r="E109" s="4"/>
      <c r="F109" s="4"/>
      <c r="G109" s="20"/>
      <c r="H109" s="83"/>
      <c r="I109" s="8"/>
      <c r="J109" s="37"/>
      <c r="K109" s="19"/>
      <c r="L109" s="12"/>
      <c r="M109" s="12"/>
      <c r="N109" s="12"/>
      <c r="O109" s="13"/>
      <c r="P109" s="112"/>
      <c r="Q109" s="113"/>
      <c r="R109" s="114"/>
      <c r="S109" s="115"/>
      <c r="T109" s="108"/>
      <c r="U109" s="106"/>
      <c r="V109" s="105"/>
      <c r="W109" s="105"/>
      <c r="X109" s="107"/>
      <c r="Y109" s="108"/>
      <c r="Z109" s="19"/>
    </row>
    <row r="110" spans="1:26" hidden="1">
      <c r="A110" s="4"/>
      <c r="B110" s="4"/>
      <c r="C110" s="4" t="s">
        <v>60</v>
      </c>
      <c r="D110" s="4"/>
      <c r="E110" s="4"/>
      <c r="F110" s="4"/>
      <c r="G110" s="20"/>
      <c r="H110" s="83"/>
      <c r="I110" s="8"/>
      <c r="J110" s="37"/>
      <c r="K110" s="19"/>
      <c r="L110" s="12"/>
      <c r="M110" s="12"/>
      <c r="N110" s="12"/>
      <c r="O110" s="13"/>
      <c r="P110" s="112"/>
      <c r="Q110" s="113"/>
      <c r="R110" s="114"/>
      <c r="S110" s="115"/>
      <c r="T110" s="108"/>
      <c r="U110" s="106"/>
      <c r="V110" s="105"/>
      <c r="W110" s="105"/>
      <c r="X110" s="107"/>
      <c r="Y110" s="108"/>
      <c r="Z110" s="19"/>
    </row>
    <row r="111" spans="1:26" hidden="1">
      <c r="A111" s="4"/>
      <c r="B111" s="4"/>
      <c r="C111" s="4" t="s">
        <v>61</v>
      </c>
      <c r="D111" s="4"/>
      <c r="E111" s="4"/>
      <c r="F111" s="4"/>
      <c r="G111" s="20"/>
      <c r="H111" s="83"/>
      <c r="I111" s="8"/>
      <c r="J111" s="37"/>
      <c r="K111" s="19"/>
      <c r="L111" s="12"/>
      <c r="M111" s="12"/>
      <c r="N111" s="12"/>
      <c r="O111" s="13"/>
      <c r="P111" s="112"/>
      <c r="Q111" s="113"/>
      <c r="R111" s="114"/>
      <c r="S111" s="115"/>
      <c r="T111" s="108"/>
      <c r="U111" s="106"/>
      <c r="V111" s="105"/>
      <c r="W111" s="105"/>
      <c r="X111" s="107"/>
      <c r="Y111" s="108"/>
      <c r="Z111" s="19"/>
    </row>
    <row r="112" spans="1:26" hidden="1">
      <c r="A112" s="4"/>
      <c r="C112" s="1" t="s">
        <v>62</v>
      </c>
      <c r="J112" s="37"/>
      <c r="K112" s="11"/>
      <c r="L112" s="12"/>
      <c r="M112" s="12"/>
      <c r="N112" s="12"/>
      <c r="O112" s="13"/>
      <c r="P112" s="112">
        <f>+P108+1</f>
        <v>2040</v>
      </c>
      <c r="Q112" s="113">
        <f>+Q108+1</f>
        <v>47</v>
      </c>
      <c r="R112" s="114">
        <f>+R108+1</f>
        <v>15</v>
      </c>
      <c r="S112" s="115" t="str">
        <f>+S108</f>
        <v>+6/12</v>
      </c>
      <c r="T112" s="108">
        <f t="shared" ref="T112:T154" si="9">IF(Q112&lt;X_EIN,0,IF(Q112&gt;=X_END,0,+JBeitr))</f>
        <v>155.52000000000001</v>
      </c>
      <c r="U112" s="106">
        <f>+SUMIF(Berechn_!$A$10:$A$100,Q112,Berechn_!$T$10:$T$100)</f>
        <v>1632.4723853310336</v>
      </c>
      <c r="V112" s="105">
        <f>+SUMIF(Berechn_!$A$10:$A$100,Q112,Berechn_!$Y$10:$Y$100)</f>
        <v>1550.85</v>
      </c>
      <c r="W112" s="105">
        <f>+SUMIF(Berechn_!$A$10:$A$100,Q112,Berechn_!$AB$10:$AB$100)</f>
        <v>2636.9569134368439</v>
      </c>
      <c r="X112" s="107">
        <f>IF(OR(Q112&gt;$L$107,Q112&lt;Alter),0,+SUMIF(Berechn_!$A$10:$A$100,Q112,Berechn_!$W$10:$W$100))</f>
        <v>8199.9</v>
      </c>
      <c r="Y112" s="108"/>
      <c r="Z112" s="19"/>
    </row>
    <row r="113" spans="1:26" hidden="1">
      <c r="A113" s="4"/>
      <c r="B113" s="4"/>
      <c r="C113" s="5"/>
      <c r="D113" s="5" t="s">
        <v>5</v>
      </c>
      <c r="E113" s="4"/>
      <c r="F113" s="4"/>
      <c r="G113" s="4"/>
      <c r="H113" s="4"/>
      <c r="I113" s="4"/>
      <c r="J113" s="37"/>
      <c r="K113" s="11"/>
      <c r="L113" s="12"/>
      <c r="M113" s="12"/>
      <c r="N113" s="12"/>
      <c r="O113" s="13"/>
      <c r="P113" s="112">
        <f t="shared" ref="P113:P154" si="10">+P112+1</f>
        <v>2041</v>
      </c>
      <c r="Q113" s="113">
        <f t="shared" ref="Q113:Q154" si="11">+Q112+1</f>
        <v>48</v>
      </c>
      <c r="R113" s="114">
        <f t="shared" ref="R113:R154" si="12">+R112+1</f>
        <v>16</v>
      </c>
      <c r="S113" s="115" t="str">
        <f t="shared" ref="S113:S154" si="13">+S112</f>
        <v>+6/12</v>
      </c>
      <c r="T113" s="108">
        <f t="shared" si="9"/>
        <v>155.52000000000001</v>
      </c>
      <c r="U113" s="106">
        <f>+SUMIF(Berechn_!$A$10:$A$100,Q113,Berechn_!$T$10:$T$100)</f>
        <v>1770.2765100266449</v>
      </c>
      <c r="V113" s="105">
        <f>+SUMIF(Berechn_!$A$10:$A$100,Q113,Berechn_!$Y$10:$Y$100)</f>
        <v>1681.76</v>
      </c>
      <c r="W113" s="105">
        <f>+SUMIF(Berechn_!$A$10:$A$100,Q113,Berechn_!$AB$10:$AB$100)</f>
        <v>2818.4873035327259</v>
      </c>
      <c r="X113" s="107">
        <f>IF(OR(Q113&gt;$L$107,Q113&lt;Alter),0,+SUMIF(Berechn_!$A$10:$A$100,Q113,Berechn_!$W$10:$W$100))</f>
        <v>8246.16</v>
      </c>
      <c r="Y113" s="108"/>
      <c r="Z113" s="19"/>
    </row>
    <row r="114" spans="1:26" hidden="1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1"/>
      <c r="L114" s="12"/>
      <c r="M114" s="12"/>
      <c r="N114" s="12"/>
      <c r="O114" s="13"/>
      <c r="P114" s="112">
        <f t="shared" si="10"/>
        <v>2042</v>
      </c>
      <c r="Q114" s="113">
        <f t="shared" si="11"/>
        <v>49</v>
      </c>
      <c r="R114" s="114">
        <f t="shared" si="12"/>
        <v>17</v>
      </c>
      <c r="S114" s="115" t="str">
        <f t="shared" si="13"/>
        <v>+6/12</v>
      </c>
      <c r="T114" s="108">
        <f t="shared" si="9"/>
        <v>155.52000000000001</v>
      </c>
      <c r="U114" s="106">
        <f>+SUMIF(Berechn_!$A$10:$A$100,Q114,Berechn_!$T$10:$T$100)</f>
        <v>1909.168575062308</v>
      </c>
      <c r="V114" s="105">
        <f>+SUMIF(Berechn_!$A$10:$A$100,Q114,Berechn_!$Y$10:$Y$100)</f>
        <v>1813.71</v>
      </c>
      <c r="W114" s="105">
        <f>+SUMIF(Berechn_!$A$10:$A$100,Q114,Berechn_!$AB$10:$AB$100)</f>
        <v>2996.2771282043391</v>
      </c>
      <c r="X114" s="107">
        <f>IF(OR(Q114&gt;$L$107,Q114&lt;Alter),0,+SUMIF(Berechn_!$A$10:$A$100,Q114,Berechn_!$W$10:$W$100))</f>
        <v>8297.35</v>
      </c>
      <c r="Y114" s="108"/>
      <c r="Z114" s="19"/>
    </row>
    <row r="115" spans="1:26" hidden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2"/>
      <c r="M115" s="12"/>
      <c r="N115" s="12"/>
      <c r="O115" s="13"/>
      <c r="P115" s="109">
        <f t="shared" si="10"/>
        <v>2043</v>
      </c>
      <c r="Q115" s="102">
        <f t="shared" si="11"/>
        <v>50</v>
      </c>
      <c r="R115" s="110">
        <f t="shared" si="12"/>
        <v>18</v>
      </c>
      <c r="S115" s="104" t="str">
        <f t="shared" si="13"/>
        <v>+6/12</v>
      </c>
      <c r="T115" s="105">
        <f t="shared" si="9"/>
        <v>155.52000000000001</v>
      </c>
      <c r="U115" s="106">
        <f>+SUMIF(Berechn_!$A$10:$A$100,Q115,Berechn_!$T$10:$T$100)</f>
        <v>2049.1086314995828</v>
      </c>
      <c r="V115" s="105">
        <f>+SUMIF(Berechn_!$A$10:$A$100,Q115,Berechn_!$Y$10:$Y$100)</f>
        <v>1946.65</v>
      </c>
      <c r="W115" s="105">
        <f>+SUMIF(Berechn_!$A$10:$A$100,Q115,Berechn_!$AB$10:$AB$100)</f>
        <v>3170.3594536815035</v>
      </c>
      <c r="X115" s="111">
        <f>IF(OR(Q115&gt;$L$107,Q115&lt;Alter),0,+SUMIF(Berechn_!$A$10:$A$100,Q115,Berechn_!$W$10:$W$100))</f>
        <v>8353.64</v>
      </c>
      <c r="Y115" s="108"/>
      <c r="Z115" s="19"/>
    </row>
    <row r="116" spans="1:26" hidden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2"/>
      <c r="M116" s="12"/>
      <c r="N116" s="12"/>
      <c r="O116" s="13"/>
      <c r="P116" s="112">
        <f t="shared" si="10"/>
        <v>2044</v>
      </c>
      <c r="Q116" s="113">
        <f t="shared" si="11"/>
        <v>51</v>
      </c>
      <c r="R116" s="114">
        <f t="shared" si="12"/>
        <v>19</v>
      </c>
      <c r="S116" s="115" t="str">
        <f t="shared" si="13"/>
        <v>+6/12</v>
      </c>
      <c r="T116" s="108">
        <f t="shared" si="9"/>
        <v>155.52000000000001</v>
      </c>
      <c r="U116" s="106">
        <f>+SUMIF(Berechn_!$A$10:$A$100,Q116,Berechn_!$T$10:$T$100)</f>
        <v>2190.0859694462411</v>
      </c>
      <c r="V116" s="105">
        <f>+SUMIF(Berechn_!$A$10:$A$100,Q116,Berechn_!$Y$10:$Y$100)</f>
        <v>2080.58</v>
      </c>
      <c r="W116" s="105">
        <f>+SUMIF(Berechn_!$A$10:$A$100,Q116,Berechn_!$AB$10:$AB$100)</f>
        <v>3340.8437134604783</v>
      </c>
      <c r="X116" s="107">
        <f>IF(OR(Q116&gt;$L$107,Q116&lt;Alter),0,+SUMIF(Berechn_!$A$10:$A$100,Q116,Berechn_!$W$10:$W$100))</f>
        <v>8415.2000000000007</v>
      </c>
      <c r="Y116" s="108"/>
      <c r="Z116" s="19"/>
    </row>
    <row r="117" spans="1:26" hidden="1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1"/>
      <c r="L117" s="12"/>
      <c r="M117" s="12"/>
      <c r="N117" s="12"/>
      <c r="O117" s="13"/>
      <c r="P117" s="112">
        <f t="shared" si="10"/>
        <v>2045</v>
      </c>
      <c r="Q117" s="113">
        <f t="shared" si="11"/>
        <v>52</v>
      </c>
      <c r="R117" s="114">
        <f t="shared" si="12"/>
        <v>20</v>
      </c>
      <c r="S117" s="115" t="str">
        <f t="shared" si="13"/>
        <v>+6/12</v>
      </c>
      <c r="T117" s="108">
        <f t="shared" si="9"/>
        <v>155.52000000000001</v>
      </c>
      <c r="U117" s="106">
        <f>+SUMIF(Berechn_!$A$10:$A$100,Q117,Berechn_!$T$10:$T$100)</f>
        <v>2332.1410145862087</v>
      </c>
      <c r="V117" s="105">
        <f>+SUMIF(Berechn_!$A$10:$A$100,Q117,Berechn_!$Y$10:$Y$100)</f>
        <v>2215.5300000000002</v>
      </c>
      <c r="W117" s="105">
        <f>+SUMIF(Berechn_!$A$10:$A$100,Q117,Berechn_!$AB$10:$AB$100)</f>
        <v>3507.8667054334742</v>
      </c>
      <c r="X117" s="107">
        <f>IF(OR(Q117&gt;$L$107,Q117&lt;Alter),0,+SUMIF(Berechn_!$A$10:$A$100,Q117,Berechn_!$W$10:$W$100))</f>
        <v>8482.23</v>
      </c>
      <c r="Y117" s="108"/>
      <c r="Z117" s="19"/>
    </row>
    <row r="118" spans="1:26" hidden="1">
      <c r="A118" s="128"/>
      <c r="B118" s="128"/>
      <c r="C118" s="128"/>
      <c r="D118" s="128"/>
      <c r="E118" s="128"/>
      <c r="F118" s="128"/>
      <c r="G118" s="128"/>
      <c r="H118" s="128"/>
      <c r="I118" s="128"/>
      <c r="J118" s="128"/>
      <c r="K118" s="19"/>
      <c r="L118" s="12"/>
      <c r="M118" s="12"/>
      <c r="N118" s="12"/>
      <c r="O118" s="13"/>
      <c r="P118" s="112">
        <f t="shared" si="10"/>
        <v>2046</v>
      </c>
      <c r="Q118" s="113">
        <f t="shared" si="11"/>
        <v>53</v>
      </c>
      <c r="R118" s="114">
        <f t="shared" si="12"/>
        <v>21</v>
      </c>
      <c r="S118" s="115" t="str">
        <f t="shared" si="13"/>
        <v>+6/12</v>
      </c>
      <c r="T118" s="108">
        <f t="shared" si="9"/>
        <v>155.52000000000001</v>
      </c>
      <c r="U118" s="106">
        <f>+SUMIF(Berechn_!$A$10:$A$100,Q118,Berechn_!$T$10:$T$100)</f>
        <v>2475.2443607064661</v>
      </c>
      <c r="V118" s="105">
        <f>+SUMIF(Berechn_!$A$10:$A$100,Q118,Berechn_!$Y$10:$Y$100)</f>
        <v>2351.48</v>
      </c>
      <c r="W118" s="105">
        <f>+SUMIF(Berechn_!$A$10:$A$100,Q118,Berechn_!$AB$10:$AB$100)</f>
        <v>3671.5022241933839</v>
      </c>
      <c r="X118" s="107">
        <f>IF(OR(Q118&gt;$L$107,Q118&lt;Alter),0,+SUMIF(Berechn_!$A$10:$A$100,Q118,Berechn_!$W$10:$W$100))</f>
        <v>8554.91</v>
      </c>
      <c r="Y118" s="108"/>
      <c r="Z118" s="19"/>
    </row>
    <row r="119" spans="1:26" hidden="1">
      <c r="A119" s="128"/>
      <c r="B119" s="128"/>
      <c r="C119" s="128"/>
      <c r="D119" s="128"/>
      <c r="E119" s="128"/>
      <c r="F119" s="128"/>
      <c r="G119" s="128"/>
      <c r="H119" s="128"/>
      <c r="I119" s="128"/>
      <c r="J119" s="128"/>
      <c r="K119" s="19"/>
      <c r="L119" s="12"/>
      <c r="M119" s="12"/>
      <c r="N119" s="12"/>
      <c r="O119" s="13"/>
      <c r="P119" s="112">
        <f t="shared" si="10"/>
        <v>2047</v>
      </c>
      <c r="Q119" s="113">
        <f t="shared" si="11"/>
        <v>54</v>
      </c>
      <c r="R119" s="114">
        <f t="shared" si="12"/>
        <v>22</v>
      </c>
      <c r="S119" s="115" t="str">
        <f t="shared" si="13"/>
        <v>+6/12</v>
      </c>
      <c r="T119" s="108">
        <f t="shared" si="9"/>
        <v>155.52000000000001</v>
      </c>
      <c r="U119" s="106">
        <f>+SUMIF(Berechn_!$A$10:$A$100,Q119,Berechn_!$T$10:$T$100)</f>
        <v>2619.4043224501652</v>
      </c>
      <c r="V119" s="105">
        <f>+SUMIF(Berechn_!$A$10:$A$100,Q119,Berechn_!$Y$10:$Y$100)</f>
        <v>2488.4299999999998</v>
      </c>
      <c r="W119" s="105">
        <f>+SUMIF(Berechn_!$A$10:$A$100,Q119,Berechn_!$AB$10:$AB$100)</f>
        <v>3831.843986437435</v>
      </c>
      <c r="X119" s="107">
        <f>IF(OR(Q119&gt;$L$107,Q119&lt;Alter),0,+SUMIF(Berechn_!$A$10:$A$100,Q119,Berechn_!$W$10:$W$100))</f>
        <v>8633.4500000000007</v>
      </c>
      <c r="Y119" s="108"/>
      <c r="Z119" s="19"/>
    </row>
    <row r="120" spans="1:26" hidden="1">
      <c r="A120" s="128"/>
      <c r="B120" s="128"/>
      <c r="C120" s="128"/>
      <c r="D120" s="128"/>
      <c r="E120" s="128"/>
      <c r="F120" s="128"/>
      <c r="G120" s="128"/>
      <c r="H120" s="128"/>
      <c r="I120" s="128"/>
      <c r="J120" s="128"/>
      <c r="K120" s="19"/>
      <c r="L120" s="12"/>
      <c r="M120" s="12"/>
      <c r="N120" s="12"/>
      <c r="O120" s="13"/>
      <c r="P120" s="112">
        <f t="shared" si="10"/>
        <v>2048</v>
      </c>
      <c r="Q120" s="113">
        <f t="shared" si="11"/>
        <v>55</v>
      </c>
      <c r="R120" s="114">
        <f t="shared" si="12"/>
        <v>23</v>
      </c>
      <c r="S120" s="115" t="str">
        <f t="shared" si="13"/>
        <v>+6/12</v>
      </c>
      <c r="T120" s="108">
        <f t="shared" si="9"/>
        <v>155.52000000000001</v>
      </c>
      <c r="U120" s="106">
        <f>+SUMIF(Berechn_!$A$10:$A$100,Q120,Berechn_!$T$10:$T$100)</f>
        <v>2764.7280315689763</v>
      </c>
      <c r="V120" s="105">
        <f>+SUMIF(Berechn_!$A$10:$A$100,Q120,Berechn_!$Y$10:$Y$100)</f>
        <v>2626.49</v>
      </c>
      <c r="W120" s="105">
        <f>+SUMIF(Berechn_!$A$10:$A$100,Q120,Berechn_!$AB$10:$AB$100)</f>
        <v>3989.1094317943644</v>
      </c>
      <c r="X120" s="107">
        <f>IF(OR(Q120&gt;$L$107,Q120&lt;Alter),0,+SUMIF(Berechn_!$A$10:$A$100,Q120,Berechn_!$W$10:$W$100))</f>
        <v>8718.0400000000009</v>
      </c>
      <c r="Y120" s="108"/>
      <c r="Z120" s="19"/>
    </row>
    <row r="121" spans="1:26" hidden="1">
      <c r="A121" s="128"/>
      <c r="B121" s="128"/>
      <c r="C121" s="128"/>
      <c r="D121" s="128"/>
      <c r="E121" s="128"/>
      <c r="F121" s="128"/>
      <c r="G121" s="128"/>
      <c r="H121" s="128"/>
      <c r="I121" s="128"/>
      <c r="J121" s="128"/>
      <c r="K121" s="19"/>
      <c r="L121" s="11"/>
      <c r="M121" s="11"/>
      <c r="N121" s="12"/>
      <c r="O121" s="13"/>
      <c r="P121" s="112">
        <f t="shared" si="10"/>
        <v>2049</v>
      </c>
      <c r="Q121" s="113">
        <f t="shared" si="11"/>
        <v>56</v>
      </c>
      <c r="R121" s="114">
        <f t="shared" si="12"/>
        <v>24</v>
      </c>
      <c r="S121" s="115" t="str">
        <f t="shared" si="13"/>
        <v>+6/12</v>
      </c>
      <c r="T121" s="108">
        <f t="shared" si="9"/>
        <v>155.52000000000001</v>
      </c>
      <c r="U121" s="106">
        <f>+SUMIF(Berechn_!$A$10:$A$100,Q121,Berechn_!$T$10:$T$100)</f>
        <v>2911.1395795629282</v>
      </c>
      <c r="V121" s="105">
        <f>+SUMIF(Berechn_!$A$10:$A$100,Q121,Berechn_!$Y$10:$Y$100)</f>
        <v>2765.58</v>
      </c>
      <c r="W121" s="105">
        <f>+SUMIF(Berechn_!$A$10:$A$100,Q121,Berechn_!$AB$10:$AB$100)</f>
        <v>4143.2868521545124</v>
      </c>
      <c r="X121" s="107">
        <f>IF(OR(Q121&gt;$L$107,Q121&lt;Alter),0,+SUMIF(Berechn_!$A$10:$A$100,Q121,Berechn_!$W$10:$W$100))</f>
        <v>8808.89</v>
      </c>
      <c r="Y121" s="108"/>
      <c r="Z121" s="19"/>
    </row>
    <row r="122" spans="1:26" hidden="1">
      <c r="A122" s="128"/>
      <c r="B122" s="128"/>
      <c r="C122" s="128"/>
      <c r="D122" s="128"/>
      <c r="E122" s="128"/>
      <c r="F122" s="128"/>
      <c r="G122" s="128"/>
      <c r="H122" s="128"/>
      <c r="I122" s="128"/>
      <c r="J122" s="128"/>
      <c r="K122" s="19"/>
      <c r="L122" s="11"/>
      <c r="M122" s="11"/>
      <c r="N122" s="12"/>
      <c r="O122" s="13"/>
      <c r="P122" s="112">
        <f t="shared" si="10"/>
        <v>2050</v>
      </c>
      <c r="Q122" s="113">
        <f t="shared" si="11"/>
        <v>57</v>
      </c>
      <c r="R122" s="114">
        <f t="shared" si="12"/>
        <v>25</v>
      </c>
      <c r="S122" s="115" t="str">
        <f t="shared" si="13"/>
        <v>+6/12</v>
      </c>
      <c r="T122" s="108">
        <f t="shared" si="9"/>
        <v>155.52000000000001</v>
      </c>
      <c r="U122" s="106">
        <f>+SUMIF(Berechn_!$A$10:$A$100,Q122,Berechn_!$T$10:$T$100)</f>
        <v>3058.5229984292987</v>
      </c>
      <c r="V122" s="105">
        <f>+SUMIF(Berechn_!$A$10:$A$100,Q122,Berechn_!$Y$10:$Y$100)</f>
        <v>2905.6</v>
      </c>
      <c r="W122" s="105">
        <f>+SUMIF(Berechn_!$A$10:$A$100,Q122,Berechn_!$AB$10:$AB$100)</f>
        <v>4294.3631753848649</v>
      </c>
      <c r="X122" s="107">
        <f>IF(OR(Q122&gt;$L$107,Q122&lt;Alter),0,+SUMIF(Berechn_!$A$10:$A$100,Q122,Berechn_!$W$10:$W$100))</f>
        <v>8906.23</v>
      </c>
      <c r="Y122" s="108"/>
      <c r="Z122" s="19"/>
    </row>
    <row r="123" spans="1:26" hidden="1">
      <c r="A123" s="128"/>
      <c r="B123" s="128"/>
      <c r="C123" s="128"/>
      <c r="D123" s="128"/>
      <c r="E123" s="128"/>
      <c r="F123" s="128"/>
      <c r="G123" s="128"/>
      <c r="H123" s="128"/>
      <c r="I123" s="128"/>
      <c r="J123" s="128"/>
      <c r="K123" s="19"/>
      <c r="L123" s="11"/>
      <c r="M123" s="11"/>
      <c r="N123" s="12"/>
      <c r="O123" s="13"/>
      <c r="P123" s="112">
        <f t="shared" si="10"/>
        <v>2051</v>
      </c>
      <c r="Q123" s="113">
        <f t="shared" si="11"/>
        <v>58</v>
      </c>
      <c r="R123" s="114">
        <f t="shared" si="12"/>
        <v>26</v>
      </c>
      <c r="S123" s="115" t="str">
        <f t="shared" si="13"/>
        <v>+6/12</v>
      </c>
      <c r="T123" s="108">
        <f t="shared" si="9"/>
        <v>155.52000000000001</v>
      </c>
      <c r="U123" s="106">
        <f>+SUMIF(Berechn_!$A$10:$A$100,Q123,Berechn_!$T$10:$T$100)</f>
        <v>3206.8572433414624</v>
      </c>
      <c r="V123" s="105">
        <f>+SUMIF(Berechn_!$A$10:$A$100,Q123,Berechn_!$Y$10:$Y$100)</f>
        <v>3046.51</v>
      </c>
      <c r="W123" s="105">
        <f>+SUMIF(Berechn_!$A$10:$A$100,Q123,Berechn_!$AB$10:$AB$100)</f>
        <v>4442.3790986379181</v>
      </c>
      <c r="X123" s="107">
        <f>IF(OR(Q123&gt;$L$107,Q123&lt;Alter),0,+SUMIF(Berechn_!$A$10:$A$100,Q123,Berechn_!$W$10:$W$100))</f>
        <v>9010.27</v>
      </c>
      <c r="Y123" s="108"/>
      <c r="Z123" s="19"/>
    </row>
    <row r="124" spans="1:26" hidden="1">
      <c r="A124" s="128"/>
      <c r="B124" s="128"/>
      <c r="C124" s="128"/>
      <c r="D124" s="128"/>
      <c r="E124" s="128"/>
      <c r="F124" s="128"/>
      <c r="G124" s="128"/>
      <c r="H124" s="128"/>
      <c r="I124" s="128"/>
      <c r="J124" s="128"/>
      <c r="K124" s="19"/>
      <c r="L124" s="11"/>
      <c r="M124" s="11"/>
      <c r="N124" s="12"/>
      <c r="O124" s="13"/>
      <c r="P124" s="112">
        <f t="shared" si="10"/>
        <v>2052</v>
      </c>
      <c r="Q124" s="113">
        <f t="shared" si="11"/>
        <v>59</v>
      </c>
      <c r="R124" s="114">
        <f t="shared" si="12"/>
        <v>27</v>
      </c>
      <c r="S124" s="115" t="str">
        <f t="shared" si="13"/>
        <v>+6/12</v>
      </c>
      <c r="T124" s="108">
        <f t="shared" si="9"/>
        <v>155.52000000000001</v>
      </c>
      <c r="U124" s="106">
        <f>+SUMIF(Berechn_!$A$10:$A$100,Q124,Berechn_!$T$10:$T$100)</f>
        <v>3356.095368593798</v>
      </c>
      <c r="V124" s="105">
        <f>+SUMIF(Berechn_!$A$10:$A$100,Q124,Berechn_!$Y$10:$Y$100)</f>
        <v>3188.29</v>
      </c>
      <c r="W124" s="105">
        <f>+SUMIF(Berechn_!$A$10:$A$100,Q124,Berechn_!$AB$10:$AB$100)</f>
        <v>4587.4180389953772</v>
      </c>
      <c r="X124" s="107">
        <f>IF(OR(Q124&gt;$L$107,Q124&lt;Alter),0,+SUMIF(Berechn_!$A$10:$A$100,Q124,Berechn_!$W$10:$W$100))</f>
        <v>9121.24</v>
      </c>
      <c r="Y124" s="108"/>
      <c r="Z124" s="19"/>
    </row>
    <row r="125" spans="1:26" hidden="1">
      <c r="A125" s="128"/>
      <c r="B125" s="128"/>
      <c r="C125" s="128"/>
      <c r="D125" s="128"/>
      <c r="E125" s="128"/>
      <c r="F125" s="128"/>
      <c r="G125" s="128"/>
      <c r="H125" s="128"/>
      <c r="I125" s="128"/>
      <c r="J125" s="128"/>
      <c r="K125" s="19"/>
      <c r="L125" s="11"/>
      <c r="M125" s="11"/>
      <c r="N125" s="12"/>
      <c r="O125" s="13"/>
      <c r="P125" s="109">
        <f t="shared" si="10"/>
        <v>2053</v>
      </c>
      <c r="Q125" s="102">
        <f t="shared" si="11"/>
        <v>60</v>
      </c>
      <c r="R125" s="110">
        <f t="shared" si="12"/>
        <v>28</v>
      </c>
      <c r="S125" s="104" t="str">
        <f t="shared" si="13"/>
        <v>+6/12</v>
      </c>
      <c r="T125" s="105">
        <f t="shared" si="9"/>
        <v>155.52000000000001</v>
      </c>
      <c r="U125" s="106">
        <f>+SUMIF(Berechn_!$A$10:$A$100,Q125,Berechn_!$T$10:$T$100)</f>
        <v>3506.1392004912523</v>
      </c>
      <c r="V125" s="105">
        <f>+SUMIF(Berechn_!$A$10:$A$100,Q125,Berechn_!$Y$10:$Y$100)</f>
        <v>3330.83</v>
      </c>
      <c r="W125" s="105">
        <f>+SUMIF(Berechn_!$A$10:$A$100,Q125,Berechn_!$AB$10:$AB$100)</f>
        <v>4729.4607318937324</v>
      </c>
      <c r="X125" s="111">
        <f>IF(OR(Q125&gt;$L$107,Q125&lt;Alter),0,+SUMIF(Berechn_!$A$10:$A$100,Q125,Berechn_!$W$10:$W$100))</f>
        <v>9239.3700000000008</v>
      </c>
      <c r="Y125" s="108"/>
      <c r="Z125" s="19"/>
    </row>
    <row r="126" spans="1:26" hidden="1">
      <c r="A126" s="128"/>
      <c r="B126" s="128"/>
      <c r="C126" s="128"/>
      <c r="D126" s="128"/>
      <c r="E126" s="128"/>
      <c r="F126" s="128"/>
      <c r="G126" s="128"/>
      <c r="H126" s="128"/>
      <c r="I126" s="128"/>
      <c r="J126" s="128"/>
      <c r="K126" s="19"/>
      <c r="L126" s="11"/>
      <c r="M126" s="11"/>
      <c r="N126" s="12"/>
      <c r="O126" s="13"/>
      <c r="P126" s="112">
        <f t="shared" si="10"/>
        <v>2054</v>
      </c>
      <c r="Q126" s="113">
        <f t="shared" si="11"/>
        <v>61</v>
      </c>
      <c r="R126" s="114">
        <f t="shared" si="12"/>
        <v>29</v>
      </c>
      <c r="S126" s="115" t="str">
        <f t="shared" si="13"/>
        <v>+6/12</v>
      </c>
      <c r="T126" s="108">
        <f t="shared" si="9"/>
        <v>155.52000000000001</v>
      </c>
      <c r="U126" s="106">
        <f>+SUMIF(Berechn_!$A$10:$A$100,Q126,Berechn_!$T$10:$T$100)</f>
        <v>3656.9939802496701</v>
      </c>
      <c r="V126" s="105">
        <f>+SUMIF(Berechn_!$A$10:$A$100,Q126,Berechn_!$Y$10:$Y$100)</f>
        <v>3474.14</v>
      </c>
      <c r="W126" s="105">
        <f>+SUMIF(Berechn_!$A$10:$A$100,Q126,Berechn_!$AB$10:$AB$100)</f>
        <v>4868.6149211890215</v>
      </c>
      <c r="X126" s="107">
        <f>IF(OR(Q126&gt;$L$107,Q126&lt;Alter),0,+SUMIF(Berechn_!$A$10:$A$100,Q126,Berechn_!$W$10:$W$100))</f>
        <v>9364.9</v>
      </c>
      <c r="Y126" s="108"/>
      <c r="Z126" s="19"/>
    </row>
    <row r="127" spans="1:26" hidden="1">
      <c r="A127" s="128"/>
      <c r="B127" s="128"/>
      <c r="C127" s="128"/>
      <c r="D127" s="128"/>
      <c r="E127" s="128"/>
      <c r="F127" s="128"/>
      <c r="G127" s="128"/>
      <c r="H127" s="128"/>
      <c r="I127" s="128"/>
      <c r="J127" s="128"/>
      <c r="K127" s="19"/>
      <c r="L127" s="11"/>
      <c r="M127" s="11"/>
      <c r="N127" s="12"/>
      <c r="O127" s="13"/>
      <c r="P127" s="112">
        <f t="shared" si="10"/>
        <v>2055</v>
      </c>
      <c r="Q127" s="113">
        <f t="shared" si="11"/>
        <v>62</v>
      </c>
      <c r="R127" s="114">
        <f t="shared" si="12"/>
        <v>30</v>
      </c>
      <c r="S127" s="115" t="str">
        <f t="shared" si="13"/>
        <v>+6/12</v>
      </c>
      <c r="T127" s="108">
        <f t="shared" si="9"/>
        <v>155.52000000000001</v>
      </c>
      <c r="U127" s="106">
        <f>+SUMIF(Berechn_!$A$10:$A$100,Q127,Berechn_!$T$10:$T$100)</f>
        <v>3808.7962947083993</v>
      </c>
      <c r="V127" s="105">
        <f>+SUMIF(Berechn_!$A$10:$A$100,Q127,Berechn_!$Y$10:$Y$100)</f>
        <v>3618.36</v>
      </c>
      <c r="W127" s="105">
        <f>+SUMIF(Berechn_!$A$10:$A$100,Q127,Berechn_!$AB$10:$AB$100)</f>
        <v>5005.1109291178636</v>
      </c>
      <c r="X127" s="107">
        <f>IF(OR(Q127&gt;$L$107,Q127&lt;Alter),0,+SUMIF(Berechn_!$A$10:$A$100,Q127,Berechn_!$W$10:$W$100))</f>
        <v>9498.06</v>
      </c>
      <c r="Y127" s="108"/>
      <c r="Z127" s="19"/>
    </row>
    <row r="128" spans="1:26" hidden="1">
      <c r="A128" s="128"/>
      <c r="B128" s="128"/>
      <c r="C128" s="128"/>
      <c r="D128" s="128"/>
      <c r="E128" s="128"/>
      <c r="F128" s="128"/>
      <c r="G128" s="128"/>
      <c r="H128" s="128"/>
      <c r="I128" s="128"/>
      <c r="J128" s="128"/>
      <c r="K128" s="19"/>
      <c r="L128" s="11"/>
      <c r="M128" s="11"/>
      <c r="N128" s="12"/>
      <c r="O128" s="13"/>
      <c r="P128" s="112">
        <f t="shared" si="10"/>
        <v>2056</v>
      </c>
      <c r="Q128" s="113">
        <f t="shared" si="11"/>
        <v>63</v>
      </c>
      <c r="R128" s="114">
        <f t="shared" si="12"/>
        <v>31</v>
      </c>
      <c r="S128" s="115" t="str">
        <f t="shared" si="13"/>
        <v>+6/12</v>
      </c>
      <c r="T128" s="108">
        <f t="shared" si="9"/>
        <v>155.52000000000001</v>
      </c>
      <c r="U128" s="106">
        <f>+SUMIF(Berechn_!$A$10:$A$100,Q128,Berechn_!$T$10:$T$100)</f>
        <v>3961.4744682154283</v>
      </c>
      <c r="V128" s="105">
        <f>+SUMIF(Berechn_!$A$10:$A$100,Q128,Berechn_!$Y$10:$Y$100)</f>
        <v>3763.4</v>
      </c>
      <c r="W128" s="105">
        <f>+SUMIF(Berechn_!$A$10:$A$100,Q128,Berechn_!$AB$10:$AB$100)</f>
        <v>5138.9399034677008</v>
      </c>
      <c r="X128" s="107">
        <f>IF(OR(Q128&gt;$L$107,Q128&lt;Alter),0,+SUMIF(Berechn_!$A$10:$A$100,Q128,Berechn_!$W$10:$W$100))</f>
        <v>9639.1200000000008</v>
      </c>
      <c r="Y128" s="108"/>
      <c r="Z128" s="19"/>
    </row>
    <row r="129" spans="1:26" hidden="1">
      <c r="A129" s="128"/>
      <c r="B129" s="128"/>
      <c r="C129" s="128"/>
      <c r="D129" s="128"/>
      <c r="E129" s="128"/>
      <c r="F129" s="128"/>
      <c r="G129" s="128"/>
      <c r="H129" s="128"/>
      <c r="I129" s="128"/>
      <c r="J129" s="128"/>
      <c r="K129" s="19"/>
      <c r="L129" s="11"/>
      <c r="M129" s="11"/>
      <c r="N129" s="12"/>
      <c r="O129" s="13"/>
      <c r="P129" s="112">
        <f t="shared" si="10"/>
        <v>2057</v>
      </c>
      <c r="Q129" s="113">
        <f t="shared" si="11"/>
        <v>64</v>
      </c>
      <c r="R129" s="114">
        <f t="shared" si="12"/>
        <v>32</v>
      </c>
      <c r="S129" s="115" t="str">
        <f t="shared" si="13"/>
        <v>+6/12</v>
      </c>
      <c r="T129" s="108">
        <f t="shared" si="9"/>
        <v>155.52000000000001</v>
      </c>
      <c r="U129" s="106">
        <f>+SUMIF(Berechn_!$A$10:$A$100,Q129,Berechn_!$T$10:$T$100)</f>
        <v>4114.8699106106405</v>
      </c>
      <c r="V129" s="105">
        <f>+SUMIF(Berechn_!$A$10:$A$100,Q129,Berechn_!$Y$10:$Y$100)</f>
        <v>3909.13</v>
      </c>
      <c r="W129" s="105">
        <f>+SUMIF(Berechn_!$A$10:$A$100,Q129,Berechn_!$AB$10:$AB$100)</f>
        <v>5270.0864169286906</v>
      </c>
      <c r="X129" s="107">
        <f>IF(OR(Q129&gt;$L$107,Q129&lt;Alter),0,+SUMIF(Berechn_!$A$10:$A$100,Q129,Berechn_!$W$10:$W$100))</f>
        <v>9788.33</v>
      </c>
      <c r="Y129" s="108"/>
      <c r="Z129" s="19"/>
    </row>
    <row r="130" spans="1:26" hidden="1">
      <c r="A130" s="128"/>
      <c r="B130" s="128"/>
      <c r="C130" s="128"/>
      <c r="D130" s="128"/>
      <c r="E130" s="128"/>
      <c r="F130" s="128"/>
      <c r="G130" s="128"/>
      <c r="H130" s="128"/>
      <c r="I130" s="128"/>
      <c r="J130" s="128"/>
      <c r="K130" s="19"/>
      <c r="L130" s="11"/>
      <c r="M130" s="11"/>
      <c r="N130" s="12"/>
      <c r="O130" s="13"/>
      <c r="P130" s="112">
        <f t="shared" si="10"/>
        <v>2058</v>
      </c>
      <c r="Q130" s="113">
        <f t="shared" si="11"/>
        <v>65</v>
      </c>
      <c r="R130" s="114">
        <f t="shared" si="12"/>
        <v>33</v>
      </c>
      <c r="S130" s="115" t="str">
        <f t="shared" si="13"/>
        <v>+6/12</v>
      </c>
      <c r="T130" s="108">
        <f t="shared" si="9"/>
        <v>155.52000000000001</v>
      </c>
      <c r="U130" s="106">
        <f>+SUMIF(Berechn_!$A$10:$A$100,Q130,Berechn_!$T$10:$T$100)</f>
        <v>4270.6116569321903</v>
      </c>
      <c r="V130" s="105">
        <f>+SUMIF(Berechn_!$A$10:$A$100,Q130,Berechn_!$Y$10:$Y$100)</f>
        <v>4057.08</v>
      </c>
      <c r="W130" s="105">
        <f>+SUMIF(Berechn_!$A$10:$A$100,Q130,Berechn_!$AB$10:$AB$100)</f>
        <v>5400.7239885765348</v>
      </c>
      <c r="X130" s="107">
        <f>IF(OR(Q130&gt;$L$107,Q130&lt;Alter),0,+SUMIF(Berechn_!$A$10:$A$100,Q130,Berechn_!$W$10:$W$100))</f>
        <v>9945.9599999999991</v>
      </c>
      <c r="Y130" s="108"/>
      <c r="Z130" s="19"/>
    </row>
    <row r="131" spans="1:26" hidden="1">
      <c r="A131" s="128"/>
      <c r="B131" s="128"/>
      <c r="C131" s="128"/>
      <c r="D131" s="128"/>
      <c r="E131" s="128"/>
      <c r="F131" s="128"/>
      <c r="G131" s="128"/>
      <c r="H131" s="128"/>
      <c r="I131" s="128"/>
      <c r="J131" s="128"/>
      <c r="K131" s="19"/>
      <c r="L131" s="11"/>
      <c r="M131" s="11"/>
      <c r="N131" s="12"/>
      <c r="O131" s="13"/>
      <c r="P131" s="112">
        <f t="shared" si="10"/>
        <v>2059</v>
      </c>
      <c r="Q131" s="113">
        <f t="shared" si="11"/>
        <v>66</v>
      </c>
      <c r="R131" s="114">
        <f t="shared" si="12"/>
        <v>34</v>
      </c>
      <c r="S131" s="115" t="str">
        <f t="shared" si="13"/>
        <v>+6/12</v>
      </c>
      <c r="T131" s="108">
        <f t="shared" si="9"/>
        <v>155.52000000000001</v>
      </c>
      <c r="U131" s="106">
        <f>+SUMIF(Berechn_!$A$10:$A$100,Q131,Berechn_!$T$10:$T$100)</f>
        <v>4428.5618855893472</v>
      </c>
      <c r="V131" s="105">
        <f>+SUMIF(Berechn_!$A$10:$A$100,Q131,Berechn_!$Y$10:$Y$100)</f>
        <v>4207.13</v>
      </c>
      <c r="W131" s="105">
        <f>+SUMIF(Berechn_!$A$10:$A$100,Q131,Berechn_!$AB$10:$AB$100)</f>
        <v>5530.8130695458522</v>
      </c>
      <c r="X131" s="107">
        <f>IF(OR(Q131&gt;$L$107,Q131&lt;Alter),0,+SUMIF(Berechn_!$A$10:$A$100,Q131,Berechn_!$W$10:$W$100))</f>
        <v>10112.280000000001</v>
      </c>
      <c r="Y131" s="108"/>
      <c r="Z131" s="19"/>
    </row>
    <row r="132" spans="1:26" hidden="1">
      <c r="A132" s="128"/>
      <c r="B132" s="128"/>
      <c r="C132" s="128"/>
      <c r="D132" s="128"/>
      <c r="E132" s="128"/>
      <c r="F132" s="128"/>
      <c r="G132" s="128"/>
      <c r="H132" s="128"/>
      <c r="I132" s="128"/>
      <c r="J132" s="128"/>
      <c r="K132" s="19"/>
      <c r="L132" s="11"/>
      <c r="M132" s="11"/>
      <c r="N132" s="12"/>
      <c r="O132" s="13"/>
      <c r="P132" s="112">
        <f t="shared" si="10"/>
        <v>2060</v>
      </c>
      <c r="Q132" s="113">
        <f t="shared" si="11"/>
        <v>67</v>
      </c>
      <c r="R132" s="114">
        <f t="shared" si="12"/>
        <v>35</v>
      </c>
      <c r="S132" s="115" t="str">
        <f t="shared" si="13"/>
        <v>+6/12</v>
      </c>
      <c r="T132" s="108">
        <f t="shared" si="9"/>
        <v>155.52000000000001</v>
      </c>
      <c r="U132" s="106">
        <f>+SUMIF(Berechn_!$A$10:$A$100,Q132,Berechn_!$T$10:$T$100)</f>
        <v>4586.7408613456964</v>
      </c>
      <c r="V132" s="105">
        <f>+SUMIF(Berechn_!$A$10:$A$100,Q132,Berechn_!$Y$10:$Y$100)</f>
        <v>4357.3999999999996</v>
      </c>
      <c r="W132" s="105">
        <f>+SUMIF(Berechn_!$A$10:$A$100,Q132,Berechn_!$AB$10:$AB$100)</f>
        <v>5658.1160026657517</v>
      </c>
      <c r="X132" s="107">
        <f>IF(OR(Q132&gt;$L$107,Q132&lt;Alter),0,+SUMIF(Berechn_!$A$10:$A$100,Q132,Berechn_!$W$10:$W$100))</f>
        <v>10287.65</v>
      </c>
      <c r="Y132" s="108"/>
      <c r="Z132" s="19"/>
    </row>
    <row r="133" spans="1:26" hidden="1">
      <c r="A133" s="128"/>
      <c r="B133" s="128"/>
      <c r="C133" s="128"/>
      <c r="D133" s="128"/>
      <c r="E133" s="128"/>
      <c r="F133" s="128"/>
      <c r="G133" s="128"/>
      <c r="H133" s="128"/>
      <c r="I133" s="128"/>
      <c r="J133" s="128"/>
      <c r="K133" s="19"/>
      <c r="L133" s="11"/>
      <c r="M133" s="11"/>
      <c r="N133" s="12"/>
      <c r="O133" s="13"/>
      <c r="P133" s="112">
        <f t="shared" si="10"/>
        <v>2061</v>
      </c>
      <c r="Q133" s="113">
        <f t="shared" si="11"/>
        <v>68</v>
      </c>
      <c r="R133" s="114">
        <f t="shared" si="12"/>
        <v>36</v>
      </c>
      <c r="S133" s="115" t="str">
        <f t="shared" si="13"/>
        <v>+6/12</v>
      </c>
      <c r="T133" s="108">
        <f t="shared" si="9"/>
        <v>155.52000000000001</v>
      </c>
      <c r="U133" s="106">
        <f>+SUMIF(Berechn_!$A$10:$A$100,Q133,Berechn_!$T$10:$T$100)</f>
        <v>4744.9114157857448</v>
      </c>
      <c r="V133" s="105">
        <f>+SUMIF(Berechn_!$A$10:$A$100,Q133,Berechn_!$Y$10:$Y$100)</f>
        <v>4507.67</v>
      </c>
      <c r="W133" s="105">
        <f>+SUMIF(Berechn_!$A$10:$A$100,Q133,Berechn_!$AB$10:$AB$100)</f>
        <v>5782.6085772945635</v>
      </c>
      <c r="X133" s="107">
        <f>IF(OR(Q133&gt;$L$107,Q133&lt;Alter),0,+SUMIF(Berechn_!$A$10:$A$100,Q133,Berechn_!$W$10:$W$100))</f>
        <v>10472.35</v>
      </c>
      <c r="Y133" s="108"/>
      <c r="Z133" s="19"/>
    </row>
    <row r="134" spans="1:26" hidden="1">
      <c r="A134" s="128"/>
      <c r="B134" s="128"/>
      <c r="C134" s="128"/>
      <c r="D134" s="128"/>
      <c r="E134" s="128"/>
      <c r="F134" s="128"/>
      <c r="G134" s="128"/>
      <c r="H134" s="128"/>
      <c r="I134" s="128"/>
      <c r="J134" s="128"/>
      <c r="K134" s="19"/>
      <c r="L134" s="11"/>
      <c r="M134" s="11"/>
      <c r="N134" s="12"/>
      <c r="O134" s="13"/>
      <c r="P134" s="112">
        <f t="shared" si="10"/>
        <v>2062</v>
      </c>
      <c r="Q134" s="113">
        <f t="shared" si="11"/>
        <v>69</v>
      </c>
      <c r="R134" s="114">
        <f t="shared" si="12"/>
        <v>37</v>
      </c>
      <c r="S134" s="115" t="str">
        <f t="shared" si="13"/>
        <v>+6/12</v>
      </c>
      <c r="T134" s="108">
        <f t="shared" si="9"/>
        <v>155.52000000000001</v>
      </c>
      <c r="U134" s="106">
        <f>+SUMIF(Berechn_!$A$10:$A$100,Q134,Berechn_!$T$10:$T$100)</f>
        <v>4902.8309205141904</v>
      </c>
      <c r="V134" s="105">
        <f>+SUMIF(Berechn_!$A$10:$A$100,Q134,Berechn_!$Y$10:$Y$100)</f>
        <v>4657.6899999999996</v>
      </c>
      <c r="W134" s="105">
        <f>+SUMIF(Berechn_!$A$10:$A$100,Q134,Berechn_!$AB$10:$AB$100)</f>
        <v>5904.2512665048516</v>
      </c>
      <c r="X134" s="107">
        <f>IF(OR(Q134&gt;$L$107,Q134&lt;Alter),0,+SUMIF(Berechn_!$A$10:$A$100,Q134,Berechn_!$W$10:$W$100))</f>
        <v>10666.66</v>
      </c>
      <c r="Y134" s="108"/>
      <c r="Z134" s="19"/>
    </row>
    <row r="135" spans="1:26" hidden="1">
      <c r="A135" s="128"/>
      <c r="B135" s="128"/>
      <c r="C135" s="128"/>
      <c r="D135" s="128"/>
      <c r="E135" s="128"/>
      <c r="F135" s="128"/>
      <c r="G135" s="128"/>
      <c r="H135" s="128"/>
      <c r="I135" s="128"/>
      <c r="J135" s="128"/>
      <c r="K135" s="19"/>
      <c r="L135" s="11"/>
      <c r="M135" s="11"/>
      <c r="N135" s="12"/>
      <c r="O135" s="13"/>
      <c r="P135" s="109">
        <f t="shared" si="10"/>
        <v>2063</v>
      </c>
      <c r="Q135" s="102">
        <f t="shared" si="11"/>
        <v>70</v>
      </c>
      <c r="R135" s="110">
        <f t="shared" si="12"/>
        <v>38</v>
      </c>
      <c r="S135" s="104" t="str">
        <f t="shared" si="13"/>
        <v>+6/12</v>
      </c>
      <c r="T135" s="105">
        <f t="shared" si="9"/>
        <v>155.52000000000001</v>
      </c>
      <c r="U135" s="106">
        <f>+SUMIF(Berechn_!$A$10:$A$100,Q135,Berechn_!$T$10:$T$100)</f>
        <v>5060.1401693132457</v>
      </c>
      <c r="V135" s="105">
        <f>+SUMIF(Berechn_!$A$10:$A$100,Q135,Berechn_!$Y$10:$Y$100)</f>
        <v>4807.13</v>
      </c>
      <c r="W135" s="105">
        <f>+SUMIF(Berechn_!$A$10:$A$100,Q135,Berechn_!$AB$10:$AB$100)</f>
        <v>6022.9860050247435</v>
      </c>
      <c r="X135" s="111">
        <f>IF(OR(Q135&gt;$L$107,Q135&lt;Alter),0,+SUMIF(Berechn_!$A$10:$A$100,Q135,Berechn_!$W$10:$W$100))</f>
        <v>10870.88</v>
      </c>
      <c r="Y135" s="108"/>
      <c r="Z135" s="19"/>
    </row>
    <row r="136" spans="1:26" hidden="1">
      <c r="A136" s="128"/>
      <c r="B136" s="128"/>
      <c r="C136" s="128"/>
      <c r="D136" s="128"/>
      <c r="E136" s="128"/>
      <c r="F136" s="128"/>
      <c r="G136" s="128"/>
      <c r="H136" s="128"/>
      <c r="I136" s="128"/>
      <c r="J136" s="128"/>
      <c r="K136" s="19"/>
      <c r="L136" s="11"/>
      <c r="M136" s="11"/>
      <c r="N136" s="12"/>
      <c r="O136" s="13"/>
      <c r="P136" s="112">
        <f t="shared" si="10"/>
        <v>2064</v>
      </c>
      <c r="Q136" s="113">
        <f t="shared" si="11"/>
        <v>71</v>
      </c>
      <c r="R136" s="114">
        <f t="shared" si="12"/>
        <v>39</v>
      </c>
      <c r="S136" s="115" t="str">
        <f t="shared" si="13"/>
        <v>+6/12</v>
      </c>
      <c r="T136" s="108">
        <f t="shared" si="9"/>
        <v>155.52000000000001</v>
      </c>
      <c r="U136" s="106">
        <f>+SUMIF(Berechn_!$A$10:$A$100,Q136,Berechn_!$T$10:$T$100)</f>
        <v>5216.6142845396753</v>
      </c>
      <c r="V136" s="105">
        <f>+SUMIF(Berechn_!$A$10:$A$100,Q136,Berechn_!$Y$10:$Y$100)</f>
        <v>4955.78</v>
      </c>
      <c r="W136" s="105">
        <f>+SUMIF(Berechn_!$A$10:$A$100,Q136,Berechn_!$AB$10:$AB$100)</f>
        <v>6138.868866950228</v>
      </c>
      <c r="X136" s="107">
        <f>IF(OR(Q136&gt;$L$107,Q136&lt;Alter),0,+SUMIF(Berechn_!$A$10:$A$100,Q136,Berechn_!$W$10:$W$100))</f>
        <v>11085.29</v>
      </c>
      <c r="Y136" s="108"/>
      <c r="Z136" s="19"/>
    </row>
    <row r="137" spans="1:26" hidden="1">
      <c r="A137" s="128"/>
      <c r="B137" s="128"/>
      <c r="C137" s="128"/>
      <c r="D137" s="128"/>
      <c r="E137" s="128"/>
      <c r="F137" s="128"/>
      <c r="G137" s="128"/>
      <c r="H137" s="128"/>
      <c r="I137" s="128"/>
      <c r="J137" s="128"/>
      <c r="K137" s="19"/>
      <c r="L137" s="11"/>
      <c r="M137" s="11"/>
      <c r="N137" s="12"/>
      <c r="O137" s="13"/>
      <c r="P137" s="112">
        <f t="shared" si="10"/>
        <v>2065</v>
      </c>
      <c r="Q137" s="113">
        <f t="shared" si="11"/>
        <v>72</v>
      </c>
      <c r="R137" s="114">
        <f t="shared" si="12"/>
        <v>40</v>
      </c>
      <c r="S137" s="115" t="str">
        <f t="shared" si="13"/>
        <v>+6/12</v>
      </c>
      <c r="T137" s="108">
        <f t="shared" si="9"/>
        <v>155.52000000000001</v>
      </c>
      <c r="U137" s="106">
        <f>+SUMIF(Berechn_!$A$10:$A$100,Q137,Berechn_!$T$10:$T$100)</f>
        <v>5372.1161821788201</v>
      </c>
      <c r="V137" s="105">
        <f>+SUMIF(Berechn_!$A$10:$A$100,Q137,Berechn_!$Y$10:$Y$100)</f>
        <v>5103.51</v>
      </c>
      <c r="W137" s="105">
        <f>+SUMIF(Berechn_!$A$10:$A$100,Q137,Berechn_!$AB$10:$AB$100)</f>
        <v>6252.0398107748306</v>
      </c>
      <c r="X137" s="107">
        <f>IF(OR(Q137&gt;$L$107,Q137&lt;Alter),0,+SUMIF(Berechn_!$A$10:$A$100,Q137,Berechn_!$W$10:$W$100))</f>
        <v>11310.16</v>
      </c>
      <c r="Y137" s="108"/>
      <c r="Z137" s="19"/>
    </row>
    <row r="138" spans="1:26" hidden="1">
      <c r="A138" s="128"/>
      <c r="B138" s="128"/>
      <c r="C138" s="128"/>
      <c r="D138" s="128"/>
      <c r="E138" s="128"/>
      <c r="F138" s="128"/>
      <c r="G138" s="128"/>
      <c r="H138" s="128"/>
      <c r="I138" s="128"/>
      <c r="J138" s="128"/>
      <c r="K138" s="19"/>
      <c r="L138" s="11"/>
      <c r="M138" s="11"/>
      <c r="N138" s="12"/>
      <c r="O138" s="13"/>
      <c r="P138" s="112">
        <f t="shared" si="10"/>
        <v>2066</v>
      </c>
      <c r="Q138" s="113">
        <f t="shared" si="11"/>
        <v>73</v>
      </c>
      <c r="R138" s="114">
        <f t="shared" si="12"/>
        <v>41</v>
      </c>
      <c r="S138" s="115" t="str">
        <f t="shared" si="13"/>
        <v>+6/12</v>
      </c>
      <c r="T138" s="108">
        <f t="shared" si="9"/>
        <v>155.52000000000001</v>
      </c>
      <c r="U138" s="106">
        <f>+SUMIF(Berechn_!$A$10:$A$100,Q138,Berechn_!$T$10:$T$100)</f>
        <v>5526.4998354165846</v>
      </c>
      <c r="V138" s="105">
        <f>+SUMIF(Berechn_!$A$10:$A$100,Q138,Berechn_!$Y$10:$Y$100)</f>
        <v>5250.17</v>
      </c>
      <c r="W138" s="105">
        <f>+SUMIF(Berechn_!$A$10:$A$100,Q138,Berechn_!$AB$10:$AB$100)</f>
        <v>6362.6413884420945</v>
      </c>
      <c r="X138" s="107">
        <f>IF(OR(Q138&gt;$L$107,Q138&lt;Alter),0,+SUMIF(Berechn_!$A$10:$A$100,Q138,Berechn_!$W$10:$W$100))</f>
        <v>11545.8</v>
      </c>
      <c r="Y138" s="108"/>
      <c r="Z138" s="19"/>
    </row>
    <row r="139" spans="1:26" hidden="1">
      <c r="A139" s="128"/>
      <c r="B139" s="128"/>
      <c r="C139" s="128"/>
      <c r="D139" s="128"/>
      <c r="E139" s="128"/>
      <c r="F139" s="128"/>
      <c r="G139" s="128"/>
      <c r="H139" s="128"/>
      <c r="I139" s="128"/>
      <c r="J139" s="128"/>
      <c r="K139" s="19"/>
      <c r="L139" s="11"/>
      <c r="M139" s="11"/>
      <c r="N139" s="12"/>
      <c r="O139" s="13"/>
      <c r="P139" s="112">
        <f t="shared" si="10"/>
        <v>2067</v>
      </c>
      <c r="Q139" s="113">
        <f t="shared" si="11"/>
        <v>74</v>
      </c>
      <c r="R139" s="114">
        <f t="shared" si="12"/>
        <v>42</v>
      </c>
      <c r="S139" s="115" t="str">
        <f t="shared" si="13"/>
        <v>+6/12</v>
      </c>
      <c r="T139" s="108">
        <f t="shared" si="9"/>
        <v>155.52000000000001</v>
      </c>
      <c r="U139" s="106">
        <f>+SUMIF(Berechn_!$A$10:$A$100,Q139,Berechn_!$T$10:$T$100)</f>
        <v>5679.8220581056885</v>
      </c>
      <c r="V139" s="105">
        <f>+SUMIF(Berechn_!$A$10:$A$100,Q139,Berechn_!$Y$10:$Y$100)</f>
        <v>5395.83</v>
      </c>
      <c r="W139" s="105">
        <f>+SUMIF(Berechn_!$A$10:$A$100,Q139,Berechn_!$AB$10:$AB$100)</f>
        <v>6471.0054716188306</v>
      </c>
      <c r="X139" s="107">
        <f>IF(OR(Q139&gt;$L$107,Q139&lt;Alter),0,+SUMIF(Berechn_!$A$10:$A$100,Q139,Berechn_!$W$10:$W$100))</f>
        <v>11792.51</v>
      </c>
      <c r="Y139" s="108"/>
      <c r="Z139" s="19"/>
    </row>
    <row r="140" spans="1:26" hidden="1">
      <c r="A140" s="128"/>
      <c r="B140" s="128"/>
      <c r="C140" s="128"/>
      <c r="D140" s="128"/>
      <c r="E140" s="128"/>
      <c r="F140" s="128"/>
      <c r="G140" s="128"/>
      <c r="H140" s="128"/>
      <c r="I140" s="128"/>
      <c r="J140" s="128"/>
      <c r="K140" s="19"/>
      <c r="L140" s="11"/>
      <c r="M140" s="11"/>
      <c r="N140" s="12"/>
      <c r="O140" s="13"/>
      <c r="P140" s="112">
        <f t="shared" si="10"/>
        <v>2068</v>
      </c>
      <c r="Q140" s="113">
        <f t="shared" si="11"/>
        <v>75</v>
      </c>
      <c r="R140" s="114">
        <f t="shared" si="12"/>
        <v>43</v>
      </c>
      <c r="S140" s="115" t="str">
        <f t="shared" si="13"/>
        <v>+6/12</v>
      </c>
      <c r="T140" s="108">
        <f t="shared" si="9"/>
        <v>155.52000000000001</v>
      </c>
      <c r="U140" s="106">
        <f>+SUMIF(Berechn_!$A$10:$A$100,Q140,Berechn_!$T$10:$T$100)</f>
        <v>5832.3582570092258</v>
      </c>
      <c r="V140" s="105">
        <f>+SUMIF(Berechn_!$A$10:$A$100,Q140,Berechn_!$Y$10:$Y$100)</f>
        <v>5540.74</v>
      </c>
      <c r="W140" s="105">
        <f>+SUMIF(Berechn_!$A$10:$A$100,Q140,Berechn_!$AB$10:$AB$100)</f>
        <v>6577.5905487687751</v>
      </c>
      <c r="X140" s="107">
        <f>IF(OR(Q140&gt;$L$107,Q140&lt;Alter),0,+SUMIF(Berechn_!$A$10:$A$100,Q140,Berechn_!$W$10:$W$100))</f>
        <v>12050.57</v>
      </c>
      <c r="Y140" s="108"/>
      <c r="Z140" s="19"/>
    </row>
    <row r="141" spans="1:26" hidden="1">
      <c r="A141" s="128"/>
      <c r="B141" s="128"/>
      <c r="C141" s="128"/>
      <c r="D141" s="128"/>
      <c r="E141" s="128"/>
      <c r="F141" s="128"/>
      <c r="G141" s="128"/>
      <c r="H141" s="128"/>
      <c r="I141" s="128"/>
      <c r="J141" s="128"/>
      <c r="K141" s="19"/>
      <c r="L141" s="11"/>
      <c r="M141" s="11"/>
      <c r="N141" s="12"/>
      <c r="O141" s="13"/>
      <c r="P141" s="112">
        <f t="shared" si="10"/>
        <v>2069</v>
      </c>
      <c r="Q141" s="113">
        <f t="shared" si="11"/>
        <v>76</v>
      </c>
      <c r="R141" s="114">
        <f t="shared" si="12"/>
        <v>44</v>
      </c>
      <c r="S141" s="115" t="str">
        <f t="shared" si="13"/>
        <v>+6/12</v>
      </c>
      <c r="T141" s="108">
        <f t="shared" si="9"/>
        <v>155.52000000000001</v>
      </c>
      <c r="U141" s="106">
        <f>+SUMIF(Berechn_!$A$10:$A$100,Q141,Berechn_!$T$10:$T$100)</f>
        <v>5984.3631637283897</v>
      </c>
      <c r="V141" s="105">
        <f>+SUMIF(Berechn_!$A$10:$A$100,Q141,Berechn_!$Y$10:$Y$100)</f>
        <v>5685.15</v>
      </c>
      <c r="W141" s="105">
        <f>+SUMIF(Berechn_!$A$10:$A$100,Q141,Berechn_!$AB$10:$AB$100)</f>
        <v>6682.8992688638773</v>
      </c>
      <c r="X141" s="107">
        <f>IF(OR(Q141&gt;$L$107,Q141&lt;Alter),0,+SUMIF(Berechn_!$A$10:$A$100,Q141,Berechn_!$W$10:$W$100))</f>
        <v>12320.31</v>
      </c>
      <c r="Y141" s="108"/>
      <c r="Z141" s="19"/>
    </row>
    <row r="142" spans="1:26" hidden="1">
      <c r="A142" s="128"/>
      <c r="B142" s="128"/>
      <c r="C142" s="128"/>
      <c r="D142" s="128"/>
      <c r="E142" s="128"/>
      <c r="F142" s="128"/>
      <c r="G142" s="128"/>
      <c r="H142" s="128"/>
      <c r="I142" s="128"/>
      <c r="J142" s="128"/>
      <c r="K142" s="19"/>
      <c r="L142" s="11"/>
      <c r="M142" s="11"/>
      <c r="N142" s="12"/>
      <c r="O142" s="13"/>
      <c r="P142" s="112">
        <f t="shared" si="10"/>
        <v>2070</v>
      </c>
      <c r="Q142" s="113">
        <f t="shared" si="11"/>
        <v>77</v>
      </c>
      <c r="R142" s="114">
        <f t="shared" si="12"/>
        <v>45</v>
      </c>
      <c r="S142" s="115" t="str">
        <f t="shared" si="13"/>
        <v>+6/12</v>
      </c>
      <c r="T142" s="108">
        <f t="shared" si="9"/>
        <v>155.52000000000001</v>
      </c>
      <c r="U142" s="106">
        <f>+SUMIF(Berechn_!$A$10:$A$100,Q142,Berechn_!$T$10:$T$100)</f>
        <v>6136.2797447381554</v>
      </c>
      <c r="V142" s="105">
        <f>+SUMIF(Berechn_!$A$10:$A$100,Q142,Berechn_!$Y$10:$Y$100)</f>
        <v>5829.47</v>
      </c>
      <c r="W142" s="105">
        <f>+SUMIF(Berechn_!$A$10:$A$100,Q142,Berechn_!$AB$10:$AB$100)</f>
        <v>6787.5672793122276</v>
      </c>
      <c r="X142" s="107">
        <f>IF(OR(Q142&gt;$L$107,Q142&lt;Alter),0,+SUMIF(Berechn_!$A$10:$A$100,Q142,Berechn_!$W$10:$W$100))</f>
        <v>12602.06</v>
      </c>
      <c r="Y142" s="108"/>
      <c r="Z142" s="19"/>
    </row>
    <row r="143" spans="1:26" hidden="1">
      <c r="A143" s="128"/>
      <c r="B143" s="128"/>
      <c r="C143" s="128"/>
      <c r="D143" s="128"/>
      <c r="E143" s="128"/>
      <c r="F143" s="128"/>
      <c r="G143" s="128"/>
      <c r="H143" s="128"/>
      <c r="I143" s="128"/>
      <c r="J143" s="128"/>
      <c r="K143" s="19"/>
      <c r="L143" s="11"/>
      <c r="M143" s="11"/>
      <c r="N143" s="12"/>
      <c r="O143" s="13"/>
      <c r="P143" s="112">
        <f t="shared" si="10"/>
        <v>2071</v>
      </c>
      <c r="Q143" s="113">
        <f t="shared" si="11"/>
        <v>78</v>
      </c>
      <c r="R143" s="114">
        <f t="shared" si="12"/>
        <v>46</v>
      </c>
      <c r="S143" s="115" t="str">
        <f t="shared" si="13"/>
        <v>+6/12</v>
      </c>
      <c r="T143" s="108">
        <f t="shared" si="9"/>
        <v>155.52000000000001</v>
      </c>
      <c r="U143" s="106">
        <f>+SUMIF(Berechn_!$A$10:$A$100,Q143,Berechn_!$T$10:$T$100)</f>
        <v>6288.6742766993812</v>
      </c>
      <c r="V143" s="105">
        <f>+SUMIF(Berechn_!$A$10:$A$100,Q143,Berechn_!$Y$10:$Y$100)</f>
        <v>5974.24</v>
      </c>
      <c r="W143" s="105">
        <f>+SUMIF(Berechn_!$A$10:$A$100,Q143,Berechn_!$AB$10:$AB$100)</f>
        <v>6892.3833628305156</v>
      </c>
      <c r="X143" s="107">
        <f>IF(OR(Q143&gt;$L$107,Q143&lt;Alter),0,+SUMIF(Berechn_!$A$10:$A$100,Q143,Berechn_!$W$10:$W$100))</f>
        <v>12896.17</v>
      </c>
      <c r="Y143" s="108"/>
      <c r="Z143" s="19"/>
    </row>
    <row r="144" spans="1:26" hidden="1">
      <c r="A144" s="128"/>
      <c r="B144" s="128"/>
      <c r="C144" s="128"/>
      <c r="D144" s="128"/>
      <c r="E144" s="128"/>
      <c r="F144" s="128"/>
      <c r="G144" s="128"/>
      <c r="H144" s="128"/>
      <c r="I144" s="128"/>
      <c r="J144" s="128"/>
      <c r="K144" s="19"/>
      <c r="L144" s="11"/>
      <c r="M144" s="11"/>
      <c r="N144" s="12"/>
      <c r="O144" s="13"/>
      <c r="P144" s="112">
        <f t="shared" si="10"/>
        <v>2072</v>
      </c>
      <c r="Q144" s="113">
        <f t="shared" si="11"/>
        <v>79</v>
      </c>
      <c r="R144" s="114">
        <f t="shared" si="12"/>
        <v>47</v>
      </c>
      <c r="S144" s="115" t="str">
        <f t="shared" si="13"/>
        <v>+6/12</v>
      </c>
      <c r="T144" s="108">
        <f t="shared" si="9"/>
        <v>155.52000000000001</v>
      </c>
      <c r="U144" s="106">
        <f>+SUMIF(Berechn_!$A$10:$A$100,Q144,Berechn_!$T$10:$T$100)</f>
        <v>6442.0883762015283</v>
      </c>
      <c r="V144" s="105">
        <f>+SUMIF(Berechn_!$A$10:$A$100,Q144,Berechn_!$Y$10:$Y$100)</f>
        <v>6119.98</v>
      </c>
      <c r="W144" s="105">
        <f>+SUMIF(Berechn_!$A$10:$A$100,Q144,Berechn_!$AB$10:$AB$100)</f>
        <v>6998.2313963768993</v>
      </c>
      <c r="X144" s="107">
        <f>IF(OR(Q144&gt;$L$107,Q144&lt;Alter),0,+SUMIF(Berechn_!$A$10:$A$100,Q144,Berechn_!$W$10:$W$100))</f>
        <v>13203.03</v>
      </c>
      <c r="Y144" s="108"/>
      <c r="Z144" s="19"/>
    </row>
    <row r="145" spans="1:26" hidden="1">
      <c r="A145" s="128"/>
      <c r="B145" s="128"/>
      <c r="C145" s="128"/>
      <c r="D145" s="128"/>
      <c r="E145" s="128"/>
      <c r="F145" s="128"/>
      <c r="G145" s="128"/>
      <c r="H145" s="128"/>
      <c r="I145" s="128"/>
      <c r="J145" s="128"/>
      <c r="K145" s="19"/>
      <c r="L145" s="11"/>
      <c r="M145" s="11"/>
      <c r="N145" s="12"/>
      <c r="O145" s="13"/>
      <c r="P145" s="109">
        <f t="shared" si="10"/>
        <v>2073</v>
      </c>
      <c r="Q145" s="102">
        <f t="shared" si="11"/>
        <v>80</v>
      </c>
      <c r="R145" s="110">
        <f t="shared" si="12"/>
        <v>48</v>
      </c>
      <c r="S145" s="104" t="str">
        <f t="shared" si="13"/>
        <v>+6/12</v>
      </c>
      <c r="T145" s="105">
        <f t="shared" si="9"/>
        <v>155.52000000000001</v>
      </c>
      <c r="U145" s="106">
        <f>+SUMIF(Berechn_!$A$10:$A$100,Q145,Berechn_!$T$10:$T$100)</f>
        <v>6597.3061315587775</v>
      </c>
      <c r="V145" s="105">
        <f>+SUMIF(Berechn_!$A$10:$A$100,Q145,Berechn_!$Y$10:$Y$100)</f>
        <v>6267.44</v>
      </c>
      <c r="W145" s="105">
        <f>+SUMIF(Berechn_!$A$10:$A$100,Q145,Berechn_!$AB$10:$AB$100)</f>
        <v>7106.3037895272582</v>
      </c>
      <c r="X145" s="111">
        <f>IF(OR(Q145&gt;$L$107,Q145&lt;Alter),0,+SUMIF(Berechn_!$A$10:$A$100,Q145,Berechn_!$W$10:$W$100))</f>
        <v>13523.02</v>
      </c>
      <c r="Y145" s="108"/>
      <c r="Z145" s="19"/>
    </row>
    <row r="146" spans="1:26" hidden="1">
      <c r="A146" s="128"/>
      <c r="B146" s="128"/>
      <c r="C146" s="128"/>
      <c r="D146" s="128"/>
      <c r="E146" s="128"/>
      <c r="F146" s="128"/>
      <c r="G146" s="128"/>
      <c r="H146" s="128"/>
      <c r="I146" s="128"/>
      <c r="J146" s="128"/>
      <c r="K146" s="19"/>
      <c r="L146" s="11"/>
      <c r="M146" s="11"/>
      <c r="N146" s="12"/>
      <c r="O146" s="13"/>
      <c r="P146" s="112">
        <f t="shared" si="10"/>
        <v>2074</v>
      </c>
      <c r="Q146" s="113">
        <f t="shared" si="11"/>
        <v>81</v>
      </c>
      <c r="R146" s="114">
        <f t="shared" si="12"/>
        <v>49</v>
      </c>
      <c r="S146" s="115" t="str">
        <f t="shared" si="13"/>
        <v>+6/12</v>
      </c>
      <c r="T146" s="108">
        <f t="shared" si="9"/>
        <v>155.52000000000001</v>
      </c>
      <c r="U146" s="106">
        <f>+SUMIF(Berechn_!$A$10:$A$100,Q146,Berechn_!$T$10:$T$100)</f>
        <v>6755.5993165551045</v>
      </c>
      <c r="V146" s="105">
        <f>+SUMIF(Berechn_!$A$10:$A$100,Q146,Berechn_!$Y$10:$Y$100)</f>
        <v>6417.82</v>
      </c>
      <c r="W146" s="105">
        <f>+SUMIF(Berechn_!$A$10:$A$100,Q146,Berechn_!$AB$10:$AB$100)</f>
        <v>7218.2836539825412</v>
      </c>
      <c r="X146" s="107">
        <f>IF(OR(Q146&gt;$L$107,Q146&lt;Alter),0,+SUMIF(Berechn_!$A$10:$A$100,Q146,Berechn_!$W$10:$W$100))</f>
        <v>13856.58</v>
      </c>
      <c r="Y146" s="108"/>
      <c r="Z146" s="19"/>
    </row>
    <row r="147" spans="1:26" hidden="1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9"/>
      <c r="L147" s="11"/>
      <c r="M147" s="11"/>
      <c r="N147" s="12"/>
      <c r="O147" s="13"/>
      <c r="P147" s="112">
        <f t="shared" si="10"/>
        <v>2075</v>
      </c>
      <c r="Q147" s="113">
        <f t="shared" si="11"/>
        <v>82</v>
      </c>
      <c r="R147" s="114">
        <f t="shared" si="12"/>
        <v>50</v>
      </c>
      <c r="S147" s="115" t="str">
        <f t="shared" si="13"/>
        <v>+6/12</v>
      </c>
      <c r="T147" s="108">
        <f t="shared" si="9"/>
        <v>155.52000000000001</v>
      </c>
      <c r="U147" s="106">
        <f>+SUMIF(Berechn_!$A$10:$A$100,Q147,Berechn_!$T$10:$T$100)</f>
        <v>6919.0967835383171</v>
      </c>
      <c r="V147" s="105">
        <f>+SUMIF(Berechn_!$A$10:$A$100,Q147,Berechn_!$Y$10:$Y$100)</f>
        <v>6573.14</v>
      </c>
      <c r="W147" s="105">
        <f>+SUMIF(Berechn_!$A$10:$A$100,Q147,Berechn_!$AB$10:$AB$100)</f>
        <v>7336.6374436268979</v>
      </c>
      <c r="X147" s="107">
        <f>IF(OR(Q147&gt;$L$107,Q147&lt;Alter),0,+SUMIF(Berechn_!$A$10:$A$100,Q147,Berechn_!$W$10:$W$100))</f>
        <v>14204.17</v>
      </c>
      <c r="Y147" s="108"/>
      <c r="Z147" s="19"/>
    </row>
    <row r="148" spans="1:26" hidden="1">
      <c r="A148" s="128"/>
      <c r="B148" s="128"/>
      <c r="C148" s="128"/>
      <c r="D148" s="128"/>
      <c r="E148" s="128"/>
      <c r="F148" s="128"/>
      <c r="G148" s="128"/>
      <c r="H148" s="128"/>
      <c r="I148" s="128"/>
      <c r="J148" s="128"/>
      <c r="K148" s="19"/>
      <c r="L148" s="11"/>
      <c r="M148" s="11"/>
      <c r="N148" s="12"/>
      <c r="O148" s="13"/>
      <c r="P148" s="112">
        <f t="shared" si="10"/>
        <v>2076</v>
      </c>
      <c r="Q148" s="113">
        <f t="shared" si="11"/>
        <v>83</v>
      </c>
      <c r="R148" s="114">
        <f t="shared" si="12"/>
        <v>51</v>
      </c>
      <c r="S148" s="115" t="str">
        <f t="shared" si="13"/>
        <v>+6/12</v>
      </c>
      <c r="T148" s="108">
        <f t="shared" si="9"/>
        <v>155.52000000000001</v>
      </c>
      <c r="U148" s="106">
        <f>+SUMIF(Berechn_!$A$10:$A$100,Q148,Berechn_!$T$10:$T$100)</f>
        <v>7091.1138167325871</v>
      </c>
      <c r="V148" s="105">
        <f>+SUMIF(Berechn_!$A$10:$A$100,Q148,Berechn_!$Y$10:$Y$100)</f>
        <v>6736.56</v>
      </c>
      <c r="W148" s="105">
        <f>+SUMIF(Berechn_!$A$10:$A$100,Q148,Berechn_!$AB$10:$AB$100)</f>
        <v>7464.89798014187</v>
      </c>
      <c r="X148" s="107">
        <f>IF(OR(Q148&gt;$L$107,Q148&lt;Alter),0,+SUMIF(Berechn_!$A$10:$A$100,Q148,Berechn_!$W$10:$W$100))</f>
        <v>14566.31</v>
      </c>
      <c r="Y148" s="108"/>
      <c r="Z148" s="19"/>
    </row>
    <row r="149" spans="1:26" hidden="1">
      <c r="A149" s="128"/>
      <c r="B149" s="128"/>
      <c r="C149" s="128"/>
      <c r="D149" s="128"/>
      <c r="E149" s="128"/>
      <c r="F149" s="128"/>
      <c r="G149" s="128"/>
      <c r="H149" s="128"/>
      <c r="I149" s="128"/>
      <c r="J149" s="128"/>
      <c r="K149" s="19"/>
      <c r="L149" s="11"/>
      <c r="M149" s="11"/>
      <c r="N149" s="12"/>
      <c r="O149" s="13"/>
      <c r="P149" s="112">
        <f t="shared" si="10"/>
        <v>2077</v>
      </c>
      <c r="Q149" s="113">
        <f t="shared" si="11"/>
        <v>84</v>
      </c>
      <c r="R149" s="114">
        <f t="shared" si="12"/>
        <v>52</v>
      </c>
      <c r="S149" s="115" t="str">
        <f t="shared" si="13"/>
        <v>+6/12</v>
      </c>
      <c r="T149" s="108">
        <f t="shared" si="9"/>
        <v>155.52000000000001</v>
      </c>
      <c r="U149" s="106">
        <f>+SUMIF(Berechn_!$A$10:$A$100,Q149,Berechn_!$T$10:$T$100)</f>
        <v>7276.4552938653496</v>
      </c>
      <c r="V149" s="105">
        <f>+SUMIF(Berechn_!$A$10:$A$100,Q149,Berechn_!$Y$10:$Y$100)</f>
        <v>6912.63</v>
      </c>
      <c r="W149" s="105">
        <f>+SUMIF(Berechn_!$A$10:$A$100,Q149,Berechn_!$AB$10:$AB$100)</f>
        <v>7607.9979974680564</v>
      </c>
      <c r="X149" s="107">
        <f>IF(OR(Q149&gt;$L$107,Q149&lt;Alter),0,+SUMIF(Berechn_!$A$10:$A$100,Q149,Berechn_!$W$10:$W$100))</f>
        <v>14943.61</v>
      </c>
      <c r="Y149" s="108"/>
      <c r="Z149" s="19"/>
    </row>
    <row r="150" spans="1:26" hidden="1">
      <c r="A150" s="128"/>
      <c r="B150" s="128"/>
      <c r="C150" s="128"/>
      <c r="D150" s="128"/>
      <c r="E150" s="128"/>
      <c r="F150" s="128"/>
      <c r="G150" s="128"/>
      <c r="H150" s="128"/>
      <c r="I150" s="128"/>
      <c r="J150" s="128"/>
      <c r="K150" s="19"/>
      <c r="L150" s="11"/>
      <c r="M150" s="11"/>
      <c r="N150" s="12"/>
      <c r="O150" s="13"/>
      <c r="P150" s="112">
        <f t="shared" si="10"/>
        <v>2078</v>
      </c>
      <c r="Q150" s="113">
        <f t="shared" si="11"/>
        <v>85</v>
      </c>
      <c r="R150" s="114">
        <f t="shared" si="12"/>
        <v>53</v>
      </c>
      <c r="S150" s="115" t="str">
        <f t="shared" si="13"/>
        <v>+6/12</v>
      </c>
      <c r="T150" s="108">
        <f t="shared" si="9"/>
        <v>0</v>
      </c>
      <c r="U150" s="106">
        <f>+SUMIF(Berechn_!$A$10:$A$100,Q150,Berechn_!$T$10:$T$100)</f>
        <v>7396.1702125660413</v>
      </c>
      <c r="V150" s="105">
        <f>+SUMIF(Berechn_!$A$10:$A$100,Q150,Berechn_!$Y$10:$Y$100)</f>
        <v>7026.36</v>
      </c>
      <c r="W150" s="105">
        <f>+SUMIF(Berechn_!$A$10:$A$100,Q150,Berechn_!$AB$10:$AB$100)</f>
        <v>8000</v>
      </c>
      <c r="X150" s="107">
        <f>IF(OR(Q150&gt;$L$107,Q150&lt;Alter),0,+SUMIF(Berechn_!$A$10:$A$100,Q150,Berechn_!$W$10:$W$100))</f>
        <v>15336.8</v>
      </c>
      <c r="Y150" s="108"/>
      <c r="Z150" s="19"/>
    </row>
    <row r="151" spans="1:26" hidden="1">
      <c r="A151" s="128"/>
      <c r="B151" s="128"/>
      <c r="C151" s="128"/>
      <c r="D151" s="128"/>
      <c r="E151" s="128"/>
      <c r="F151" s="128"/>
      <c r="G151" s="128"/>
      <c r="H151" s="128"/>
      <c r="I151" s="128"/>
      <c r="J151" s="128"/>
      <c r="K151" s="19"/>
      <c r="L151" s="11"/>
      <c r="M151" s="11"/>
      <c r="N151" s="12"/>
      <c r="O151" s="13"/>
      <c r="P151" s="112">
        <f t="shared" si="10"/>
        <v>2079</v>
      </c>
      <c r="Q151" s="113">
        <f t="shared" si="11"/>
        <v>86</v>
      </c>
      <c r="R151" s="114">
        <f t="shared" si="12"/>
        <v>54</v>
      </c>
      <c r="S151" s="115" t="str">
        <f t="shared" si="13"/>
        <v>+6/12</v>
      </c>
      <c r="T151" s="108">
        <f t="shared" si="9"/>
        <v>0</v>
      </c>
      <c r="U151" s="106">
        <f>+SUMIF(Berechn_!$A$10:$A$100,Q151,Berechn_!$T$10:$T$100)</f>
        <v>7440.955518519193</v>
      </c>
      <c r="V151" s="105">
        <f>+SUMIF(Berechn_!$A$10:$A$100,Q151,Berechn_!$Y$10:$Y$100)</f>
        <v>7068.91</v>
      </c>
      <c r="W151" s="105">
        <f>+SUMIF(Berechn_!$A$10:$A$100,Q151,Berechn_!$AB$10:$AB$100)</f>
        <v>8000</v>
      </c>
      <c r="X151" s="107">
        <f>IF(OR(Q151&gt;$L$107,Q151&lt;Alter),0,+SUMIF(Berechn_!$A$10:$A$100,Q151,Berechn_!$W$10:$W$100))</f>
        <v>0</v>
      </c>
      <c r="Y151" s="108"/>
      <c r="Z151" s="19"/>
    </row>
    <row r="152" spans="1:26" hidden="1">
      <c r="A152" s="128"/>
      <c r="B152" s="128"/>
      <c r="C152" s="128"/>
      <c r="D152" s="128"/>
      <c r="E152" s="128"/>
      <c r="F152" s="128"/>
      <c r="G152" s="128"/>
      <c r="H152" s="128"/>
      <c r="I152" s="128"/>
      <c r="J152" s="128"/>
      <c r="K152" s="19"/>
      <c r="L152" s="11"/>
      <c r="M152" s="11"/>
      <c r="N152" s="12"/>
      <c r="O152" s="13"/>
      <c r="P152" s="112">
        <f t="shared" si="10"/>
        <v>2080</v>
      </c>
      <c r="Q152" s="113">
        <f t="shared" si="11"/>
        <v>87</v>
      </c>
      <c r="R152" s="114">
        <f t="shared" si="12"/>
        <v>55</v>
      </c>
      <c r="S152" s="115" t="str">
        <f t="shared" si="13"/>
        <v>+6/12</v>
      </c>
      <c r="T152" s="108">
        <f t="shared" si="9"/>
        <v>0</v>
      </c>
      <c r="U152" s="106">
        <f>+SUMIF(Berechn_!$A$10:$A$100,Q152,Berechn_!$T$10:$T$100)</f>
        <v>7483.2714695520554</v>
      </c>
      <c r="V152" s="105">
        <f>+SUMIF(Berechn_!$A$10:$A$100,Q152,Berechn_!$Y$10:$Y$100)</f>
        <v>7109.11</v>
      </c>
      <c r="W152" s="105">
        <f>+SUMIF(Berechn_!$A$10:$A$100,Q152,Berechn_!$AB$10:$AB$100)</f>
        <v>8000</v>
      </c>
      <c r="X152" s="107">
        <f>IF(OR(Q152&gt;$L$107,Q152&lt;Alter),0,+SUMIF(Berechn_!$A$10:$A$100,Q152,Berechn_!$W$10:$W$100))</f>
        <v>0</v>
      </c>
      <c r="Y152" s="108"/>
      <c r="Z152" s="19"/>
    </row>
    <row r="153" spans="1:26" hidden="1">
      <c r="A153" s="128"/>
      <c r="B153" s="128"/>
      <c r="C153" s="128"/>
      <c r="D153" s="128"/>
      <c r="E153" s="128"/>
      <c r="F153" s="128"/>
      <c r="G153" s="128"/>
      <c r="H153" s="128"/>
      <c r="I153" s="128"/>
      <c r="J153" s="128"/>
      <c r="K153" s="19"/>
      <c r="L153" s="11"/>
      <c r="M153" s="11"/>
      <c r="N153" s="12"/>
      <c r="O153" s="13"/>
      <c r="P153" s="112">
        <f t="shared" si="10"/>
        <v>2081</v>
      </c>
      <c r="Q153" s="113">
        <f t="shared" si="11"/>
        <v>88</v>
      </c>
      <c r="R153" s="114">
        <f t="shared" si="12"/>
        <v>56</v>
      </c>
      <c r="S153" s="115" t="str">
        <f t="shared" si="13"/>
        <v>+6/12</v>
      </c>
      <c r="T153" s="108">
        <f t="shared" si="9"/>
        <v>0</v>
      </c>
      <c r="U153" s="106">
        <f>+SUMIF(Berechn_!$A$10:$A$100,Q153,Berechn_!$T$10:$T$100)</f>
        <v>7523.1820437322685</v>
      </c>
      <c r="V153" s="105">
        <f>+SUMIF(Berechn_!$A$10:$A$100,Q153,Berechn_!$Y$10:$Y$100)</f>
        <v>7147.02</v>
      </c>
      <c r="W153" s="105">
        <f>+SUMIF(Berechn_!$A$10:$A$100,Q153,Berechn_!$AB$10:$AB$100)</f>
        <v>8000</v>
      </c>
      <c r="X153" s="107">
        <f>IF(OR(Q153&gt;$L$107,Q153&lt;Alter),0,+SUMIF(Berechn_!$A$10:$A$100,Q153,Berechn_!$W$10:$W$100))</f>
        <v>0</v>
      </c>
      <c r="Y153" s="108"/>
      <c r="Z153" s="11"/>
    </row>
    <row r="154" spans="1:26" ht="13.5" hidden="1" thickBot="1">
      <c r="A154" s="128"/>
      <c r="B154" s="128"/>
      <c r="C154" s="128"/>
      <c r="D154" s="128"/>
      <c r="E154" s="128"/>
      <c r="F154" s="128"/>
      <c r="G154" s="128"/>
      <c r="H154" s="128"/>
      <c r="I154" s="128"/>
      <c r="J154" s="128"/>
      <c r="K154" s="19"/>
      <c r="L154" s="11"/>
      <c r="M154" s="11"/>
      <c r="N154" s="12"/>
      <c r="O154" s="13"/>
      <c r="P154" s="129">
        <f t="shared" si="10"/>
        <v>2082</v>
      </c>
      <c r="Q154" s="130">
        <f t="shared" si="11"/>
        <v>89</v>
      </c>
      <c r="R154" s="131">
        <f t="shared" si="12"/>
        <v>57</v>
      </c>
      <c r="S154" s="132" t="str">
        <f t="shared" si="13"/>
        <v>+6/12</v>
      </c>
      <c r="T154" s="133">
        <f t="shared" si="9"/>
        <v>0</v>
      </c>
      <c r="U154" s="106">
        <f>+SUMIF(Berechn_!$A$10:$A$100,Q154,Berechn_!$T$10:$T$100)</f>
        <v>7560.3844595651835</v>
      </c>
      <c r="V154" s="105">
        <f>+SUMIF(Berechn_!$A$10:$A$100,Q154,Berechn_!$Y$10:$Y$100)</f>
        <v>7182.37</v>
      </c>
      <c r="W154" s="105">
        <f>+SUMIF(Berechn_!$A$10:$A$100,Q154,Berechn_!$AB$10:$AB$100)</f>
        <v>8000</v>
      </c>
      <c r="X154" s="99">
        <f>IF(OR(Q154&gt;$L$107,Q154&lt;Alter),0,+SUMIF(Berechn_!$A$10:$A$100,Q154,Berechn_!$W$10:$W$100))</f>
        <v>0</v>
      </c>
      <c r="Y154" s="108"/>
      <c r="Z154" s="11"/>
    </row>
    <row r="155" spans="1:26" ht="13.5" hidden="1" thickTop="1">
      <c r="A155" s="128"/>
      <c r="B155" s="128"/>
      <c r="C155" s="128"/>
      <c r="D155" s="128"/>
      <c r="E155" s="128"/>
      <c r="F155" s="128"/>
      <c r="G155" s="128"/>
      <c r="H155" s="128"/>
      <c r="I155" s="128"/>
      <c r="J155" s="128"/>
      <c r="K155" s="19"/>
      <c r="L155" s="11"/>
      <c r="M155" s="11"/>
      <c r="N155" s="12"/>
      <c r="O155" s="13"/>
      <c r="Y155" s="108"/>
      <c r="Z155" s="11"/>
    </row>
    <row r="156" spans="1:26" hidden="1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1"/>
      <c r="L156" s="11"/>
      <c r="M156" s="11"/>
      <c r="N156" s="12"/>
      <c r="O156" s="12"/>
      <c r="P156" s="11"/>
      <c r="Q156" s="22"/>
      <c r="R156" s="134"/>
      <c r="S156" s="22"/>
      <c r="T156" s="11"/>
      <c r="U156" s="11"/>
      <c r="V156" s="11"/>
      <c r="W156" s="11"/>
      <c r="X156" s="11"/>
      <c r="Y156" s="11"/>
      <c r="Z156" s="11"/>
    </row>
    <row r="157" spans="1:26" hidden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34"/>
      <c r="S157" s="22"/>
      <c r="T157" s="11"/>
      <c r="U157" s="11"/>
      <c r="V157" s="11"/>
      <c r="W157" s="11"/>
      <c r="X157" s="11"/>
      <c r="Y157" s="11"/>
      <c r="Z157" s="11"/>
    </row>
    <row r="158" spans="1:26" hidden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34"/>
      <c r="S158" s="22"/>
      <c r="T158" s="11"/>
      <c r="U158" s="11"/>
      <c r="V158" s="11"/>
      <c r="W158" s="11"/>
      <c r="X158" s="11"/>
      <c r="Y158" s="11"/>
      <c r="Z158" s="11"/>
    </row>
    <row r="159" spans="1:26" hidden="1">
      <c r="F159" s="135"/>
      <c r="G159" s="136"/>
      <c r="H159" s="135"/>
      <c r="I159" s="135"/>
      <c r="J159" s="137"/>
    </row>
    <row r="160" spans="1:26" hidden="1">
      <c r="F160" s="135"/>
      <c r="G160" s="136"/>
      <c r="H160" s="135"/>
      <c r="I160" s="135"/>
      <c r="J160" s="137"/>
    </row>
    <row r="161" spans="2:10" hidden="1">
      <c r="F161" s="135"/>
      <c r="G161" s="136"/>
      <c r="H161" s="135"/>
      <c r="I161" s="135"/>
      <c r="J161" s="137"/>
    </row>
    <row r="162" spans="2:10" hidden="1">
      <c r="F162" s="135"/>
      <c r="G162" s="136"/>
      <c r="H162" s="135"/>
      <c r="I162" s="135"/>
      <c r="J162" s="137"/>
    </row>
    <row r="163" spans="2:10" hidden="1">
      <c r="F163" s="135"/>
      <c r="G163" s="136"/>
      <c r="H163" s="135"/>
      <c r="I163" s="135"/>
      <c r="J163" s="137"/>
    </row>
    <row r="164" spans="2:10" hidden="1">
      <c r="B164" s="136"/>
      <c r="C164" s="135"/>
      <c r="D164" s="135"/>
      <c r="E164" s="135"/>
      <c r="F164" s="135"/>
      <c r="G164" s="136"/>
      <c r="H164" s="135"/>
      <c r="I164" s="135"/>
      <c r="J164" s="137"/>
    </row>
    <row r="165" spans="2:10" hidden="1">
      <c r="B165" s="136"/>
      <c r="C165" s="135"/>
      <c r="D165" s="135"/>
      <c r="E165" s="135"/>
      <c r="F165" s="135"/>
      <c r="G165" s="136"/>
      <c r="H165" s="135"/>
      <c r="I165" s="135"/>
      <c r="J165" s="137"/>
    </row>
    <row r="166" spans="2:10" hidden="1">
      <c r="B166" s="136"/>
      <c r="C166" s="135"/>
      <c r="D166" s="135"/>
      <c r="E166" s="135"/>
      <c r="F166" s="135"/>
      <c r="G166" s="136"/>
      <c r="H166" s="135"/>
      <c r="I166" s="135"/>
      <c r="J166" s="137"/>
    </row>
    <row r="167" spans="2:10" hidden="1">
      <c r="B167" s="136"/>
      <c r="C167" s="135"/>
      <c r="D167" s="135"/>
      <c r="E167" s="135"/>
      <c r="F167" s="135"/>
      <c r="G167" s="136"/>
      <c r="H167" s="135"/>
      <c r="I167" s="135"/>
      <c r="J167" s="137"/>
    </row>
    <row r="168" spans="2:10" hidden="1">
      <c r="B168" s="136"/>
      <c r="C168" s="135"/>
      <c r="D168" s="135"/>
      <c r="E168" s="135"/>
      <c r="F168" s="135"/>
      <c r="G168" s="136"/>
      <c r="H168" s="135"/>
      <c r="I168" s="135"/>
      <c r="J168" s="137"/>
    </row>
    <row r="169" spans="2:10" hidden="1">
      <c r="B169" s="136"/>
      <c r="C169" s="135"/>
      <c r="D169" s="135"/>
      <c r="E169" s="135"/>
      <c r="F169" s="135"/>
      <c r="G169" s="136"/>
      <c r="H169" s="135"/>
      <c r="I169" s="135"/>
      <c r="J169" s="137"/>
    </row>
    <row r="170" spans="2:10" hidden="1">
      <c r="B170" s="136"/>
      <c r="C170" s="135"/>
      <c r="D170" s="135"/>
      <c r="E170" s="135"/>
      <c r="F170" s="135"/>
      <c r="G170" s="136"/>
      <c r="H170" s="135"/>
      <c r="I170" s="135"/>
      <c r="J170" s="137"/>
    </row>
    <row r="171" spans="2:10" hidden="1">
      <c r="B171" s="136"/>
      <c r="C171" s="135"/>
      <c r="D171" s="135"/>
      <c r="E171" s="135"/>
      <c r="F171" s="135"/>
      <c r="G171" s="136"/>
      <c r="H171" s="135"/>
      <c r="I171" s="135"/>
      <c r="J171" s="137"/>
    </row>
    <row r="172" spans="2:10" hidden="1">
      <c r="B172" s="136"/>
      <c r="C172" s="135"/>
      <c r="D172" s="135"/>
      <c r="E172" s="135"/>
      <c r="F172" s="135"/>
      <c r="G172" s="136"/>
      <c r="H172" s="135"/>
      <c r="I172" s="135"/>
      <c r="J172" s="137"/>
    </row>
    <row r="173" spans="2:10" hidden="1">
      <c r="B173" s="136"/>
      <c r="C173" s="135"/>
      <c r="D173" s="135"/>
      <c r="E173" s="135"/>
      <c r="F173" s="135"/>
      <c r="G173" s="136"/>
      <c r="H173" s="135"/>
      <c r="I173" s="135"/>
      <c r="J173" s="137"/>
    </row>
    <row r="174" spans="2:10" hidden="1">
      <c r="B174" s="136"/>
      <c r="C174" s="135"/>
      <c r="D174" s="135"/>
      <c r="E174" s="135"/>
      <c r="F174" s="135"/>
      <c r="G174" s="136"/>
      <c r="H174" s="135"/>
      <c r="I174" s="135"/>
      <c r="J174" s="137"/>
    </row>
    <row r="175" spans="2:10" hidden="1">
      <c r="B175" s="136"/>
      <c r="C175" s="135"/>
      <c r="D175" s="135"/>
      <c r="E175" s="135"/>
      <c r="F175" s="135"/>
      <c r="G175" s="136"/>
      <c r="H175" s="135"/>
      <c r="I175" s="135"/>
      <c r="J175" s="137"/>
    </row>
    <row r="176" spans="2:10" hidden="1">
      <c r="B176" s="136"/>
      <c r="C176" s="135"/>
      <c r="D176" s="135"/>
      <c r="E176" s="135"/>
      <c r="F176" s="135"/>
      <c r="G176" s="136"/>
      <c r="H176" s="135"/>
      <c r="I176" s="135"/>
      <c r="J176" s="137"/>
    </row>
    <row r="177" spans="2:10" hidden="1">
      <c r="B177" s="136"/>
      <c r="C177" s="135"/>
      <c r="D177" s="135"/>
      <c r="E177" s="135"/>
      <c r="F177" s="135"/>
      <c r="G177" s="136"/>
      <c r="H177" s="135"/>
      <c r="I177" s="135"/>
      <c r="J177" s="137"/>
    </row>
    <row r="178" spans="2:10" hidden="1">
      <c r="B178" s="136"/>
      <c r="C178" s="135"/>
      <c r="D178" s="135"/>
      <c r="E178" s="135"/>
      <c r="F178" s="135"/>
      <c r="G178" s="136"/>
      <c r="H178" s="135"/>
      <c r="I178" s="135"/>
      <c r="J178" s="137"/>
    </row>
    <row r="179" spans="2:10" hidden="1">
      <c r="B179" s="136"/>
      <c r="C179" s="135"/>
      <c r="D179" s="135"/>
      <c r="E179" s="135"/>
      <c r="F179" s="135"/>
      <c r="G179" s="136"/>
      <c r="H179" s="135"/>
      <c r="I179" s="135"/>
      <c r="J179" s="137"/>
    </row>
    <row r="180" spans="2:10" hidden="1">
      <c r="B180" s="136"/>
      <c r="C180" s="135"/>
      <c r="D180" s="135"/>
      <c r="E180" s="135"/>
      <c r="F180" s="135"/>
      <c r="G180" s="136"/>
      <c r="H180" s="135"/>
      <c r="I180" s="135"/>
      <c r="J180" s="137"/>
    </row>
    <row r="181" spans="2:10" hidden="1">
      <c r="B181" s="136"/>
      <c r="C181" s="135"/>
      <c r="D181" s="135"/>
      <c r="E181" s="135"/>
      <c r="F181" s="135"/>
      <c r="G181" s="136"/>
      <c r="H181" s="135"/>
      <c r="I181" s="135"/>
      <c r="J181" s="137"/>
    </row>
    <row r="182" spans="2:10" hidden="1">
      <c r="B182" s="136"/>
      <c r="C182" s="135"/>
      <c r="D182" s="135"/>
      <c r="E182" s="135"/>
      <c r="F182" s="135"/>
      <c r="G182" s="136"/>
      <c r="H182" s="135"/>
      <c r="I182" s="135"/>
      <c r="J182" s="137"/>
    </row>
    <row r="183" spans="2:10" hidden="1">
      <c r="B183" s="136"/>
      <c r="C183" s="135"/>
      <c r="D183" s="135"/>
      <c r="E183" s="135"/>
      <c r="F183" s="135"/>
      <c r="G183" s="136"/>
      <c r="H183" s="135"/>
      <c r="I183" s="135"/>
      <c r="J183" s="137"/>
    </row>
    <row r="184" spans="2:10" hidden="1">
      <c r="B184" s="136"/>
      <c r="C184" s="135"/>
      <c r="D184" s="135"/>
      <c r="E184" s="135"/>
      <c r="F184" s="135"/>
      <c r="G184" s="136"/>
      <c r="H184" s="135"/>
      <c r="I184" s="135"/>
      <c r="J184" s="137"/>
    </row>
    <row r="185" spans="2:10" hidden="1">
      <c r="B185" s="136"/>
      <c r="C185" s="135"/>
      <c r="D185" s="135"/>
      <c r="E185" s="135"/>
      <c r="F185" s="135"/>
      <c r="G185" s="136"/>
      <c r="H185" s="135"/>
      <c r="I185" s="135"/>
      <c r="J185" s="137"/>
    </row>
    <row r="186" spans="2:10" hidden="1">
      <c r="B186" s="136"/>
      <c r="C186" s="135"/>
      <c r="D186" s="135"/>
      <c r="E186" s="135"/>
      <c r="F186" s="135"/>
      <c r="G186" s="136"/>
      <c r="H186" s="135"/>
      <c r="I186" s="135"/>
      <c r="J186" s="137"/>
    </row>
    <row r="187" spans="2:10" hidden="1">
      <c r="B187" s="136"/>
      <c r="C187" s="135"/>
      <c r="D187" s="135"/>
      <c r="E187" s="135"/>
      <c r="F187" s="135"/>
      <c r="G187" s="136"/>
      <c r="H187" s="135"/>
      <c r="I187" s="135"/>
      <c r="J187" s="137"/>
    </row>
    <row r="188" spans="2:10" hidden="1">
      <c r="B188" s="136"/>
      <c r="C188" s="135"/>
      <c r="D188" s="135"/>
      <c r="E188" s="135"/>
      <c r="F188" s="135"/>
      <c r="G188" s="136"/>
      <c r="H188" s="135"/>
      <c r="I188" s="135"/>
      <c r="J188" s="137"/>
    </row>
    <row r="189" spans="2:10" hidden="1">
      <c r="B189" s="136"/>
      <c r="C189" s="135"/>
      <c r="D189" s="135"/>
      <c r="E189" s="135"/>
      <c r="F189" s="135"/>
      <c r="G189" s="136"/>
      <c r="H189" s="135"/>
      <c r="I189" s="135"/>
      <c r="J189" s="137"/>
    </row>
    <row r="190" spans="2:10" hidden="1">
      <c r="B190" s="136"/>
      <c r="C190" s="135"/>
      <c r="D190" s="135"/>
      <c r="E190" s="135"/>
      <c r="F190" s="135"/>
      <c r="G190" s="136"/>
      <c r="H190" s="135"/>
      <c r="I190" s="135"/>
      <c r="J190" s="137"/>
    </row>
    <row r="191" spans="2:10" hidden="1">
      <c r="B191" s="136"/>
      <c r="C191" s="135"/>
      <c r="D191" s="135"/>
      <c r="E191" s="135"/>
      <c r="F191" s="135"/>
      <c r="G191" s="136"/>
      <c r="H191" s="135"/>
      <c r="I191" s="135"/>
      <c r="J191" s="137"/>
    </row>
    <row r="192" spans="2:10" hidden="1">
      <c r="B192" s="136"/>
      <c r="C192" s="135"/>
      <c r="D192" s="135"/>
      <c r="E192" s="135"/>
      <c r="F192" s="135"/>
      <c r="G192" s="136"/>
      <c r="H192" s="135"/>
      <c r="I192" s="135"/>
      <c r="J192" s="137"/>
    </row>
    <row r="193" spans="2:10" hidden="1">
      <c r="B193" s="136"/>
      <c r="C193" s="135"/>
      <c r="D193" s="135"/>
      <c r="E193" s="135"/>
      <c r="F193" s="135"/>
      <c r="G193" s="136"/>
      <c r="H193" s="135"/>
      <c r="I193" s="135"/>
      <c r="J193" s="137"/>
    </row>
    <row r="194" spans="2:10" hidden="1">
      <c r="B194" s="136"/>
      <c r="C194" s="135"/>
      <c r="D194" s="135"/>
      <c r="E194" s="135"/>
      <c r="F194" s="135"/>
      <c r="G194" s="136"/>
      <c r="H194" s="135"/>
      <c r="I194" s="135"/>
      <c r="J194" s="137"/>
    </row>
    <row r="195" spans="2:10" hidden="1">
      <c r="B195" s="136"/>
      <c r="C195" s="135"/>
      <c r="D195" s="135"/>
      <c r="E195" s="135"/>
      <c r="F195" s="135"/>
      <c r="G195" s="136"/>
      <c r="H195" s="135"/>
      <c r="I195" s="135"/>
      <c r="J195" s="137"/>
    </row>
    <row r="196" spans="2:10" hidden="1">
      <c r="B196" s="136"/>
      <c r="C196" s="135"/>
      <c r="D196" s="135"/>
      <c r="E196" s="135"/>
      <c r="F196" s="135"/>
      <c r="G196" s="136"/>
      <c r="H196" s="135"/>
      <c r="I196" s="135"/>
      <c r="J196" s="137"/>
    </row>
    <row r="197" spans="2:10" hidden="1">
      <c r="B197" s="136"/>
      <c r="C197" s="135"/>
      <c r="D197" s="135"/>
      <c r="E197" s="135"/>
      <c r="F197" s="135"/>
      <c r="G197" s="136"/>
      <c r="H197" s="135"/>
      <c r="I197" s="135"/>
      <c r="J197" s="137"/>
    </row>
  </sheetData>
  <sheetProtection password="9B89" sheet="1" objects="1" scenarios="1"/>
  <protectedRanges>
    <protectedRange sqref="F51:F55" name="Bereich5"/>
    <protectedRange sqref="F20" name="Bereich4"/>
    <protectedRange sqref="D12:F12" name="Bereich2"/>
    <protectedRange sqref="D9:F9" name="Bereich1"/>
  </protectedRanges>
  <customSheetViews>
    <customSheetView guid="{90660716-89FA-46FB-859D-354C90F91A05}" showGridLines="0" fitToPage="1" hiddenRows="1" hiddenColumns="1">
      <selection activeCell="D16" sqref="D16"/>
      <pageMargins left="1.5597222222222222" right="0.5" top="0.57986111111111116" bottom="0.62013888888888891" header="0.51180555555555551" footer="0.51180555555555551"/>
      <pageSetup paperSize="9" firstPageNumber="0" orientation="portrait" horizontalDpi="300" verticalDpi="300" r:id="rId1"/>
      <headerFooter alignWithMargins="0"/>
    </customSheetView>
  </customSheetViews>
  <mergeCells count="4">
    <mergeCell ref="B46:K46"/>
    <mergeCell ref="B7:K7"/>
    <mergeCell ref="D9:F9"/>
    <mergeCell ref="B34:K34"/>
  </mergeCells>
  <dataValidations count="2">
    <dataValidation type="list" allowBlank="1" showInputMessage="1" showErrorMessage="1" sqref="F20" xr:uid="{00000000-0002-0000-0000-000000000000}">
      <formula1>$V$8:$V$23</formula1>
    </dataValidation>
    <dataValidation type="whole" allowBlank="1" showInputMessage="1" showErrorMessage="1" sqref="D15" xr:uid="{00000000-0002-0000-0000-000001000000}">
      <formula1>1</formula1>
      <formula2>1</formula2>
    </dataValidation>
  </dataValidations>
  <pageMargins left="1.5597222222222222" right="0.5" top="0.57986111111111116" bottom="0.62013888888888891" header="0.51180555555555551" footer="0.51180555555555551"/>
  <pageSetup paperSize="9" scale="94" firstPageNumber="0" orientation="portrait" horizontalDpi="300" verticalDpi="3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31"/>
  <sheetViews>
    <sheetView workbookViewId="0">
      <pane ySplit="9" topLeftCell="A88" activePane="bottomLeft" state="frozen"/>
      <selection activeCell="AQ1" sqref="AQ1"/>
      <selection pane="bottomLeft" activeCell="A108" sqref="A108"/>
    </sheetView>
  </sheetViews>
  <sheetFormatPr baseColWidth="10" defaultColWidth="11.28515625" defaultRowHeight="12.75"/>
  <cols>
    <col min="1" max="1" width="11.28515625" style="138"/>
    <col min="2" max="2" width="11.28515625" style="139" hidden="1" customWidth="1"/>
    <col min="3" max="3" width="12.140625" style="139" hidden="1" customWidth="1"/>
    <col min="4" max="4" width="11.28515625" style="139" hidden="1" customWidth="1"/>
    <col min="5" max="5" width="11.28515625" style="140" hidden="1" customWidth="1"/>
    <col min="6" max="8" width="11.28515625" style="1" hidden="1" customWidth="1"/>
    <col min="9" max="9" width="11.28515625" style="141" hidden="1" customWidth="1"/>
    <col min="10" max="10" width="11.28515625" style="1" hidden="1" customWidth="1"/>
    <col min="11" max="11" width="4.5703125" style="1" hidden="1" customWidth="1"/>
    <col min="12" max="12" width="11.28515625" style="1" hidden="1" customWidth="1"/>
    <col min="13" max="13" width="12.5703125" style="1" hidden="1" customWidth="1"/>
    <col min="14" max="28" width="11.28515625" style="1" hidden="1" customWidth="1"/>
    <col min="29" max="30" width="11.28515625" style="1" customWidth="1"/>
    <col min="31" max="42" width="11.28515625" style="1" hidden="1" customWidth="1"/>
    <col min="43" max="53" width="11.28515625" style="1" customWidth="1"/>
    <col min="54" max="16384" width="11.28515625" style="1"/>
  </cols>
  <sheetData>
    <row r="1" spans="1:42">
      <c r="A1" s="142" t="s">
        <v>63</v>
      </c>
      <c r="B1" s="142" t="s">
        <v>4</v>
      </c>
      <c r="C1" s="143" t="s">
        <v>64</v>
      </c>
      <c r="D1" s="143"/>
      <c r="E1" s="144">
        <v>2.2500000000000003E-2</v>
      </c>
      <c r="G1" s="140" t="s">
        <v>65</v>
      </c>
      <c r="H1" s="145">
        <f>+JBeitr</f>
        <v>155.52000000000001</v>
      </c>
      <c r="I1" s="146"/>
      <c r="K1" s="147" t="s">
        <v>66</v>
      </c>
      <c r="L1" s="148">
        <v>0.18</v>
      </c>
      <c r="M1" s="1" t="s">
        <v>67</v>
      </c>
      <c r="N1"/>
      <c r="AC1" s="149"/>
      <c r="AD1" s="149"/>
      <c r="AF1" s="1">
        <v>0</v>
      </c>
      <c r="AG1" s="150">
        <v>5.7749999999999998E-3</v>
      </c>
      <c r="AH1" s="150">
        <v>4.6930000000000001E-3</v>
      </c>
      <c r="AI1" s="150">
        <f t="shared" ref="AI1:AI11" si="0">(0.6*AG1+0.4*AH1)</f>
        <v>5.3422000000000001E-3</v>
      </c>
      <c r="AJ1" s="1">
        <v>100000</v>
      </c>
      <c r="AL1" s="151" t="s">
        <v>68</v>
      </c>
      <c r="AM1" s="152"/>
      <c r="AN1" s="153">
        <v>0</v>
      </c>
      <c r="AO1" s="154">
        <f t="shared" ref="AO1:AO12" si="1">IF(AN1&gt;=t___0,0,AN1/(t___0+AN1*p___0))</f>
        <v>0</v>
      </c>
      <c r="AP1" s="155">
        <f t="shared" ref="AP1:AP12" si="2">IF(AN1&gt;=t___0,0,(t___0+AN1*(((1+p___0/100)/(1+st___0/100))-1))/(t___0+AN1*p___0/100))</f>
        <v>1</v>
      </c>
    </row>
    <row r="2" spans="1:42">
      <c r="A2" s="156" t="str">
        <f>+Pers_Daten!M89</f>
        <v xml:space="preserve">Herr </v>
      </c>
      <c r="C2" s="157" t="s">
        <v>69</v>
      </c>
      <c r="D2" s="157"/>
      <c r="E2" s="139">
        <f>1/(1+E1)</f>
        <v>0.97799511002444994</v>
      </c>
      <c r="F2" s="137"/>
      <c r="G2" s="147" t="s">
        <v>70</v>
      </c>
      <c r="H2" s="158">
        <f>+Über*100</f>
        <v>2.5</v>
      </c>
      <c r="I2" s="159"/>
      <c r="K2" s="147"/>
      <c r="L2" s="148">
        <v>3.0000000000000001E-3</v>
      </c>
      <c r="M2" s="1" t="s">
        <v>71</v>
      </c>
      <c r="N2"/>
      <c r="AC2" s="149"/>
      <c r="AD2" s="149"/>
      <c r="AF2" s="1">
        <v>1</v>
      </c>
      <c r="AG2" s="150">
        <v>4.9399999999999997E-4</v>
      </c>
      <c r="AH2" s="150">
        <v>4.1299999999999996E-4</v>
      </c>
      <c r="AI2" s="150">
        <f t="shared" si="0"/>
        <v>4.616E-4</v>
      </c>
      <c r="AJ2" s="160">
        <f t="shared" ref="AJ2:AJ11" si="3">+AJ1*(1-$AI1)</f>
        <v>99465.78</v>
      </c>
      <c r="AL2" s="161" t="s">
        <v>72</v>
      </c>
      <c r="AM2" s="162"/>
      <c r="AN2" s="163">
        <v>1</v>
      </c>
      <c r="AO2" s="154">
        <f t="shared" si="1"/>
        <v>0.24860161591050342</v>
      </c>
      <c r="AP2" s="164">
        <f t="shared" si="2"/>
        <v>1</v>
      </c>
    </row>
    <row r="3" spans="1:42">
      <c r="C3" s="139" t="s">
        <v>73</v>
      </c>
      <c r="E3" s="165">
        <f>k</f>
        <v>0.3785</v>
      </c>
      <c r="G3" s="147" t="s">
        <v>74</v>
      </c>
      <c r="H3" s="158">
        <f>+Zins*100</f>
        <v>3</v>
      </c>
      <c r="I3" s="159"/>
      <c r="K3" s="147" t="s">
        <v>75</v>
      </c>
      <c r="L3" s="148">
        <v>0.04</v>
      </c>
      <c r="M3" s="1" t="s">
        <v>76</v>
      </c>
      <c r="N3"/>
      <c r="AC3" s="149"/>
      <c r="AD3" s="149"/>
      <c r="AF3" s="1">
        <v>2</v>
      </c>
      <c r="AG3" s="150">
        <v>2.6000000000000003E-4</v>
      </c>
      <c r="AH3" s="150">
        <v>2.4699999999999999E-4</v>
      </c>
      <c r="AI3" s="150">
        <f t="shared" si="0"/>
        <v>2.5480000000000001E-4</v>
      </c>
      <c r="AJ3" s="160">
        <f t="shared" si="3"/>
        <v>99419.866595952</v>
      </c>
      <c r="AL3" s="161" t="s">
        <v>77</v>
      </c>
      <c r="AM3" s="163">
        <f>t___0</f>
        <v>4</v>
      </c>
      <c r="AN3" s="163">
        <v>2</v>
      </c>
      <c r="AO3" s="154">
        <f t="shared" si="1"/>
        <v>0.49443757725587145</v>
      </c>
      <c r="AP3" s="164">
        <f t="shared" si="2"/>
        <v>1</v>
      </c>
    </row>
    <row r="4" spans="1:42">
      <c r="C4" s="139" t="s">
        <v>78</v>
      </c>
      <c r="E4" s="166">
        <v>4</v>
      </c>
      <c r="K4" s="147" t="s">
        <v>79</v>
      </c>
      <c r="L4" s="148">
        <v>5.0000000000000001E-4</v>
      </c>
      <c r="M4" s="1" t="s">
        <v>80</v>
      </c>
      <c r="N4"/>
      <c r="AC4" s="149"/>
      <c r="AD4" s="149"/>
      <c r="AF4" s="1">
        <v>3</v>
      </c>
      <c r="AG4" s="150">
        <v>2.2599999999999999E-4</v>
      </c>
      <c r="AH4" s="150">
        <v>1.94E-4</v>
      </c>
      <c r="AI4" s="150">
        <f t="shared" si="0"/>
        <v>2.1319999999999998E-4</v>
      </c>
      <c r="AJ4" s="160">
        <f t="shared" si="3"/>
        <v>99394.534413943358</v>
      </c>
      <c r="AL4" s="161" t="s">
        <v>81</v>
      </c>
      <c r="AM4" s="167">
        <f>p___0</f>
        <v>2.2500000000000003E-2</v>
      </c>
      <c r="AN4" s="163">
        <v>3</v>
      </c>
      <c r="AO4" s="154">
        <f t="shared" si="1"/>
        <v>0.73755377996312232</v>
      </c>
      <c r="AP4" s="164">
        <f t="shared" si="2"/>
        <v>0.99999999999999978</v>
      </c>
    </row>
    <row r="5" spans="1:42">
      <c r="H5" s="141"/>
      <c r="J5" s="139"/>
      <c r="L5"/>
      <c r="M5" s="141"/>
      <c r="AC5" s="149"/>
      <c r="AD5" s="149"/>
      <c r="AF5" s="1">
        <v>4</v>
      </c>
      <c r="AG5" s="150">
        <v>1.9000000000000001E-4</v>
      </c>
      <c r="AH5" s="150">
        <v>1.55E-4</v>
      </c>
      <c r="AI5" s="150">
        <f t="shared" si="0"/>
        <v>1.76E-4</v>
      </c>
      <c r="AJ5" s="160">
        <f t="shared" si="3"/>
        <v>99373.343499206298</v>
      </c>
      <c r="AL5" s="161" t="s">
        <v>82</v>
      </c>
      <c r="AM5" s="163">
        <f>st___0</f>
        <v>0</v>
      </c>
      <c r="AN5" s="163">
        <v>4</v>
      </c>
      <c r="AO5" s="154">
        <f t="shared" si="1"/>
        <v>0</v>
      </c>
      <c r="AP5" s="164">
        <f t="shared" si="2"/>
        <v>0</v>
      </c>
    </row>
    <row r="6" spans="1:42">
      <c r="A6" s="168">
        <f>+X_EIN</f>
        <v>32</v>
      </c>
      <c r="B6" s="169"/>
      <c r="C6" s="170" t="s">
        <v>83</v>
      </c>
      <c r="D6" s="171" t="s">
        <v>84</v>
      </c>
      <c r="E6" s="172">
        <v>111</v>
      </c>
      <c r="F6" s="173">
        <f>+SUMIF($A10:$A100,+X_EIN,F10:F100)</f>
        <v>48173.242074000329</v>
      </c>
      <c r="G6" s="173">
        <f>+SUMIF($A10:$A100,+X_EIN,G10:G100)</f>
        <v>1352304.6503033394</v>
      </c>
      <c r="H6" s="170"/>
      <c r="I6" s="174"/>
      <c r="J6" s="173"/>
      <c r="K6" s="173"/>
      <c r="L6" s="175">
        <f>IF(Pers_Daten!$H98=0,+SUMIF($A9:$A99,+X_EIN,L9:L99)*Vielfach,IF(OR(L7=0,L7=Pers_Daten!$H98),0,"Fehler"))</f>
        <v>155.52000000000001</v>
      </c>
      <c r="M6" s="175">
        <f>IF(Pers_Daten!$H98=0,+SUMIF($A9:$A99,+X_EIN,M9:M99)*Vielfach,IF(OR(M7=0,M7=Pers_Daten!$H98),0,"Fehler"))</f>
        <v>155.52000000000001</v>
      </c>
      <c r="N6" s="173"/>
      <c r="O6" s="173"/>
      <c r="P6" s="173"/>
      <c r="Q6" s="176" t="s">
        <v>85</v>
      </c>
      <c r="R6" s="1">
        <f>+Pers_Daten!L94</f>
        <v>39</v>
      </c>
      <c r="S6" s="156">
        <f>ROUND(Pers_Daten!I95,0)</f>
        <v>6</v>
      </c>
      <c r="T6" s="177">
        <f>+SUMIF($A10:$A100,+R6,T10:T100)</f>
        <v>573.4026676739237</v>
      </c>
      <c r="U6" s="173">
        <f>SUMIF($A10:$A100,+Alter,U10:U100)</f>
        <v>35.192631694983746</v>
      </c>
      <c r="V6" s="173">
        <f>+Pers_Daten!H104-SUMIF($A10:$A100,+Alter,U10:U100)</f>
        <v>-35.192631694983746</v>
      </c>
      <c r="W6" s="173"/>
      <c r="X6" s="173"/>
      <c r="Y6" s="177">
        <f>+SUMIF($A10:$A100,+R6,Y10:Y100)</f>
        <v>544.73</v>
      </c>
      <c r="AA6" s="177"/>
      <c r="AB6" s="177">
        <f>+SUMIF($A10:$A100,+R6,AB10:AB100)</f>
        <v>1043.1601337207999</v>
      </c>
      <c r="AC6" s="149"/>
      <c r="AD6" s="149"/>
      <c r="AF6" s="1">
        <v>5</v>
      </c>
      <c r="AG6" s="150">
        <v>1.7000000000000001E-4</v>
      </c>
      <c r="AH6" s="150">
        <v>1.3799999999999999E-4</v>
      </c>
      <c r="AI6" s="150">
        <f t="shared" si="0"/>
        <v>1.572E-4</v>
      </c>
      <c r="AJ6" s="160">
        <f t="shared" si="3"/>
        <v>99355.853790750436</v>
      </c>
      <c r="AL6" s="161"/>
      <c r="AM6" s="162"/>
      <c r="AN6" s="163">
        <v>5</v>
      </c>
      <c r="AO6" s="154">
        <f t="shared" si="1"/>
        <v>0</v>
      </c>
      <c r="AP6" s="164">
        <f t="shared" si="2"/>
        <v>0</v>
      </c>
    </row>
    <row r="7" spans="1:42">
      <c r="A7" s="178">
        <f>+X_END</f>
        <v>85</v>
      </c>
      <c r="B7" s="178">
        <f>MIN(65,X_END)</f>
        <v>65</v>
      </c>
      <c r="C7" s="179" t="s">
        <v>21</v>
      </c>
      <c r="D7" s="179"/>
      <c r="E7" s="180"/>
      <c r="F7" s="181">
        <f>+SUMIF($A10:$A121,+X_END,F10:F121)</f>
        <v>3918.4115580237662</v>
      </c>
      <c r="G7" s="181">
        <f>+SUMIF($A10:$A121,+X_END,G10:G121)</f>
        <v>18225.944094246726</v>
      </c>
      <c r="H7" s="181">
        <f>+SUMIF($A10:$A121,+B7,G10:G121)</f>
        <v>256481.84336305136</v>
      </c>
      <c r="I7" s="182"/>
      <c r="J7" s="179"/>
      <c r="K7" s="181">
        <f>+Vielfach</f>
        <v>16</v>
      </c>
      <c r="L7" s="175">
        <f>IF(Pers_Daten!$H98=0,500*Vielfach,Pers_Daten!$H98)</f>
        <v>8000</v>
      </c>
      <c r="M7" s="175">
        <f>IF(Pers_Daten!$H98=0,500*Vielfach,Pers_Daten!$H98)</f>
        <v>8000</v>
      </c>
      <c r="N7" s="183"/>
      <c r="O7" s="183"/>
      <c r="P7" s="183"/>
      <c r="Q7" s="183" t="s">
        <v>86</v>
      </c>
      <c r="R7" s="184">
        <f>+Pers_Daten!L107</f>
        <v>85</v>
      </c>
      <c r="S7" s="183"/>
      <c r="T7" s="184"/>
      <c r="U7" s="183"/>
      <c r="V7" s="183"/>
      <c r="W7" s="175">
        <f>+SUMIF($A10:$A100,+R7,W10:W100)</f>
        <v>15336.8</v>
      </c>
      <c r="X7" s="183"/>
      <c r="Z7" s="4"/>
      <c r="AA7" s="183"/>
      <c r="AB7" s="183"/>
      <c r="AC7" s="149"/>
      <c r="AD7" s="149"/>
      <c r="AE7" s="4"/>
      <c r="AF7" s="1">
        <v>6</v>
      </c>
      <c r="AG7" s="150">
        <v>1.47E-4</v>
      </c>
      <c r="AH7" s="150">
        <v>1.21E-4</v>
      </c>
      <c r="AI7" s="150">
        <f t="shared" si="0"/>
        <v>1.3659999999999999E-4</v>
      </c>
      <c r="AJ7" s="160">
        <f t="shared" si="3"/>
        <v>99340.235050534538</v>
      </c>
      <c r="AK7" s="4"/>
      <c r="AL7" s="185"/>
      <c r="AM7" s="162"/>
      <c r="AN7" s="163">
        <v>6</v>
      </c>
      <c r="AO7" s="154">
        <f t="shared" si="1"/>
        <v>0</v>
      </c>
      <c r="AP7" s="164">
        <f t="shared" si="2"/>
        <v>0</v>
      </c>
    </row>
    <row r="8" spans="1:42">
      <c r="A8" s="186" t="s">
        <v>87</v>
      </c>
      <c r="B8" s="187" t="s">
        <v>88</v>
      </c>
      <c r="C8" s="188" t="s">
        <v>89</v>
      </c>
      <c r="D8" s="188" t="s">
        <v>90</v>
      </c>
      <c r="E8" s="189" t="s">
        <v>91</v>
      </c>
      <c r="F8" s="189" t="s">
        <v>92</v>
      </c>
      <c r="G8" s="190" t="s">
        <v>93</v>
      </c>
      <c r="H8" s="191" t="s">
        <v>94</v>
      </c>
      <c r="I8" s="192" t="s">
        <v>94</v>
      </c>
      <c r="J8" s="191" t="s">
        <v>95</v>
      </c>
      <c r="K8" s="191"/>
      <c r="L8" s="193" t="s">
        <v>96</v>
      </c>
      <c r="M8" s="193"/>
      <c r="N8" s="191" t="s">
        <v>97</v>
      </c>
      <c r="O8" s="191" t="s">
        <v>98</v>
      </c>
      <c r="P8" s="194" t="s">
        <v>99</v>
      </c>
      <c r="Q8" s="194" t="s">
        <v>100</v>
      </c>
      <c r="R8" s="191"/>
      <c r="S8" s="195" t="s">
        <v>101</v>
      </c>
      <c r="T8" s="196" t="s">
        <v>102</v>
      </c>
      <c r="U8" s="197" t="s">
        <v>103</v>
      </c>
      <c r="V8" s="191" t="s">
        <v>104</v>
      </c>
      <c r="W8" s="195" t="s">
        <v>105</v>
      </c>
      <c r="X8" s="198"/>
      <c r="Y8" s="195" t="s">
        <v>106</v>
      </c>
      <c r="Z8" s="195" t="s">
        <v>107</v>
      </c>
      <c r="AA8" s="195"/>
      <c r="AB8" s="199" t="s">
        <v>108</v>
      </c>
      <c r="AC8" s="149"/>
      <c r="AD8" s="149"/>
      <c r="AF8" s="1">
        <v>7</v>
      </c>
      <c r="AG8" s="150">
        <v>1.45E-4</v>
      </c>
      <c r="AH8" s="150">
        <v>1.13E-4</v>
      </c>
      <c r="AI8" s="150">
        <f t="shared" si="0"/>
        <v>1.3220000000000001E-4</v>
      </c>
      <c r="AJ8" s="160">
        <f t="shared" si="3"/>
        <v>99326.665174426627</v>
      </c>
      <c r="AL8" s="200" t="s">
        <v>109</v>
      </c>
      <c r="AM8" s="201">
        <f>IF(Rentzus="R",AP13/t___0,1)</f>
        <v>1</v>
      </c>
      <c r="AN8" s="163">
        <v>7</v>
      </c>
      <c r="AO8" s="154">
        <f t="shared" si="1"/>
        <v>0</v>
      </c>
      <c r="AP8" s="164">
        <f t="shared" si="2"/>
        <v>0</v>
      </c>
    </row>
    <row r="9" spans="1:42">
      <c r="A9" s="202" t="s">
        <v>34</v>
      </c>
      <c r="B9" s="203"/>
      <c r="C9" s="204"/>
      <c r="D9" s="204"/>
      <c r="E9" s="205"/>
      <c r="F9" s="206"/>
      <c r="G9" s="207"/>
      <c r="H9" s="206" t="s">
        <v>110</v>
      </c>
      <c r="I9" s="204" t="s">
        <v>111</v>
      </c>
      <c r="J9" s="206" t="s">
        <v>5</v>
      </c>
      <c r="K9" s="206"/>
      <c r="L9" s="208" t="s">
        <v>112</v>
      </c>
      <c r="M9" s="208" t="s">
        <v>111</v>
      </c>
      <c r="N9" s="206" t="s">
        <v>131</v>
      </c>
      <c r="O9" s="209" t="s">
        <v>113</v>
      </c>
      <c r="P9" s="209"/>
      <c r="Q9" s="210" t="s">
        <v>5</v>
      </c>
      <c r="R9" s="211" t="s">
        <v>114</v>
      </c>
      <c r="S9" s="206" t="s">
        <v>115</v>
      </c>
      <c r="T9" s="212" t="str">
        <f>CONCATENATE("x+",+$S$6," Mon.")</f>
        <v>x+6 Mon.</v>
      </c>
      <c r="U9" s="213" t="str">
        <f>CONCATENATE(+$H$2,"% / ",+$H$3,"% ")</f>
        <v xml:space="preserve">2,5% / 3% </v>
      </c>
      <c r="V9" s="214" t="s">
        <v>116</v>
      </c>
      <c r="W9" s="215" t="s">
        <v>117</v>
      </c>
      <c r="X9" s="216" t="s">
        <v>115</v>
      </c>
      <c r="Y9" s="206" t="str">
        <f>"x+"&amp;$S$6&amp;" Mon."</f>
        <v>x+6 Mon.</v>
      </c>
      <c r="Z9" s="206" t="s">
        <v>118</v>
      </c>
      <c r="AA9" s="206" t="s">
        <v>119</v>
      </c>
      <c r="AB9" s="217" t="str">
        <f>+Y9</f>
        <v>x+6 Mon.</v>
      </c>
      <c r="AC9" s="149"/>
      <c r="AD9" s="149"/>
      <c r="AF9" s="1">
        <v>8</v>
      </c>
      <c r="AG9" s="150">
        <v>1.46E-4</v>
      </c>
      <c r="AH9" s="150">
        <v>1.06E-4</v>
      </c>
      <c r="AI9" s="150">
        <f t="shared" si="0"/>
        <v>1.3000000000000002E-4</v>
      </c>
      <c r="AJ9" s="160">
        <f t="shared" si="3"/>
        <v>99313.534189290571</v>
      </c>
      <c r="AL9" s="200"/>
      <c r="AM9" s="201"/>
      <c r="AN9" s="163">
        <v>8</v>
      </c>
      <c r="AO9" s="154">
        <f t="shared" si="1"/>
        <v>0</v>
      </c>
      <c r="AP9" s="164">
        <f t="shared" si="2"/>
        <v>0</v>
      </c>
    </row>
    <row r="10" spans="1:42">
      <c r="A10" s="156">
        <v>10</v>
      </c>
      <c r="B10" s="150">
        <v>1.1499999999999999E-4</v>
      </c>
      <c r="C10" s="150">
        <v>1.07E-4</v>
      </c>
      <c r="D10" s="150">
        <v>1.1180000000000001E-4</v>
      </c>
      <c r="E10" s="160">
        <v>99289.323018899639</v>
      </c>
      <c r="F10" s="218">
        <f t="shared" ref="F10:F41" si="4">+E10*V^($A10)</f>
        <v>79482.109090988786</v>
      </c>
      <c r="G10" s="56">
        <f t="shared" ref="G10:G41" si="5">+G11+F10</f>
        <v>2745437.3530049594</v>
      </c>
      <c r="H10" s="141">
        <f t="shared" ref="H10:H41" si="6">(V*Nx-G11)/Dx*SQRT(1+$E$1)+$L$3+$L$2*N_END/Dx+(1-$L$1)*$L$4*(Nx-$H$7)/Dx</f>
        <v>0.29612739333024474</v>
      </c>
      <c r="I10" s="219">
        <f t="shared" ref="I10:I41" si="7">((F11*D11/3+F12*D12*2/3)*SQRT($E$2)+(V*G13-G14)*SQRT(1+$E$1))/Dx+$L$3+$L$2*N_END/Dx+(1-$L$1)*$L$4*(Nx-$H$7)/Dx</f>
        <v>0.29588303315803188</v>
      </c>
      <c r="J10" s="137">
        <f t="shared" ref="J10:J41" si="8">IF(x&gt;X_END,0,(1-$L$1)*((Nx-N_END)/Dx-$E$3*(1-(D_END/Dx))))</f>
        <v>27.840990580285936</v>
      </c>
      <c r="K10" s="220">
        <f t="shared" ref="K10:K41" si="9">IF(OR(x&gt;MIN(70,X_END-10),x&lt;18),0,1)</f>
        <v>0</v>
      </c>
      <c r="L10" s="221">
        <f t="shared" ref="L10:L39" si="10">K10*ROUND(H10*500/J10/12,2)*12</f>
        <v>0</v>
      </c>
      <c r="M10" s="221">
        <f t="shared" ref="M10:M41" si="11">K10*ROUND(I10*500/(J10-D10/2*SQRT($E$2))/12,2)*12</f>
        <v>0</v>
      </c>
      <c r="N10" s="137">
        <f t="shared" ref="N10:N41" si="12">ROUND(VS*((V*Nx-G11)/Dx*SQRT(1+$E$1)+IF(x&gt;MIN(X_END,65),0,(1-$L$1)*$L$4*(Nx-$H$7)/Dx)),2)</f>
        <v>2043.52</v>
      </c>
      <c r="O10" s="137">
        <f t="shared" ref="O10:O41" si="13">+J10*JBeitr</f>
        <v>4329.8308550460688</v>
      </c>
      <c r="P10" s="137">
        <f t="shared" ref="P10:P41" si="14">IF(OR(x&gt;X_END,JBeitr=0),Nx/Dx,+N_END/Dx)</f>
        <v>0.22930876272271788</v>
      </c>
      <c r="Q10" s="137">
        <f t="shared" ref="Q10:Q41" si="15">IF(OR(x&gt;X_END,JBeitr=0),0,((N_END/(N_EIN-N_END)*(Nx-N_END)/Dx)))</f>
        <v>0.4687680501532418</v>
      </c>
      <c r="R10" s="137">
        <f t="shared" ref="R10:R41" si="16">+VS*$L$2*(P10-Q10)</f>
        <v>-5.747022898332574</v>
      </c>
      <c r="S10" s="137">
        <f t="shared" ref="S10:S41" si="17">IF(x&lt;X_EIN,0,N10-O10+R10)</f>
        <v>0</v>
      </c>
      <c r="T10" s="222">
        <f t="shared" ref="T10:T41" si="18">IF(S11=0,0,MAX(0,((12-$S$6)*S10+$S$6*S11)/12))</f>
        <v>0</v>
      </c>
      <c r="U10" s="223"/>
      <c r="V10" s="137"/>
      <c r="W10" s="224"/>
      <c r="X10" s="225">
        <f t="shared" ref="X10:X41" si="19">ROUND(MAX(0,0.95*S10),2)</f>
        <v>0</v>
      </c>
      <c r="Y10" s="83">
        <f t="shared" ref="Y10:Y41" si="20">ROUND(MAX(0,0.95*T10),2)</f>
        <v>0</v>
      </c>
      <c r="Z10" s="141">
        <f t="shared" ref="Z10:Z41" si="21">((V*Nx-G11)+$L$2*Nx)/Dx</f>
        <v>0.34354113868702241</v>
      </c>
      <c r="AA10" s="137">
        <f t="shared" ref="AA10:AA41" si="22">IF(OR(x&gt;=X_END,AND(x&gt;=X_EIN,JBeitr=0)),VS,X10/((((V*Nx-G11)-IF(Tarif="F",0,(V*N_END-$H$7)))*SQRT(1+$E$1)+IF(Tarif="F",0,D_END))/Dx+$L$2*(Nx-IF(Tarif="F",0,N_END))/Dx))</f>
        <v>0</v>
      </c>
      <c r="AB10" s="221">
        <f t="shared" ref="AB10:AB41" si="23">IF(OR(AND(AA10=0,AA11=0),AND(Tarif="G",x&gt;X_END)),0,IF(x&gt;=X_END,VS,+Y10*12/((12-$S$6)*Z10+$S$6*Z11)))</f>
        <v>0</v>
      </c>
      <c r="AC10" s="149"/>
      <c r="AD10" s="149"/>
      <c r="AF10" s="1">
        <v>9</v>
      </c>
      <c r="AG10" s="150">
        <v>1.3099999999999999E-4</v>
      </c>
      <c r="AH10" s="150">
        <v>8.7999999999999998E-5</v>
      </c>
      <c r="AI10" s="150">
        <f t="shared" si="0"/>
        <v>1.1379999999999999E-4</v>
      </c>
      <c r="AJ10" s="160">
        <f t="shared" si="3"/>
        <v>99300.62342984596</v>
      </c>
      <c r="AL10" s="200" t="s">
        <v>120</v>
      </c>
      <c r="AM10" s="201">
        <f>ROUND((1+p___0)/t___0*AO13/(1+st___0/100),4)</f>
        <v>0.3785</v>
      </c>
      <c r="AN10" s="163">
        <v>9</v>
      </c>
      <c r="AO10" s="154">
        <f t="shared" si="1"/>
        <v>0</v>
      </c>
      <c r="AP10" s="164">
        <f t="shared" si="2"/>
        <v>0</v>
      </c>
    </row>
    <row r="11" spans="1:42">
      <c r="A11" s="156">
        <v>11</v>
      </c>
      <c r="B11" s="150">
        <v>1.4899999999999999E-4</v>
      </c>
      <c r="C11" s="150">
        <v>1.22E-4</v>
      </c>
      <c r="D11" s="150">
        <v>1.382E-4</v>
      </c>
      <c r="E11" s="160">
        <f t="shared" ref="E11:E42" si="24">+E10*(1-D10)</f>
        <v>99278.222472586131</v>
      </c>
      <c r="F11" s="218">
        <f t="shared" si="4"/>
        <v>77724.423463268875</v>
      </c>
      <c r="G11" s="56">
        <f t="shared" si="5"/>
        <v>2665955.2439139704</v>
      </c>
      <c r="H11" s="141">
        <f t="shared" si="6"/>
        <v>0.30138720701626631</v>
      </c>
      <c r="I11" s="219">
        <f t="shared" si="7"/>
        <v>0.30111139571087225</v>
      </c>
      <c r="J11" s="137">
        <f t="shared" si="8"/>
        <v>27.639070940839552</v>
      </c>
      <c r="K11" s="220">
        <f t="shared" si="9"/>
        <v>0</v>
      </c>
      <c r="L11" s="221">
        <f t="shared" si="10"/>
        <v>0</v>
      </c>
      <c r="M11" s="221">
        <f t="shared" si="11"/>
        <v>0</v>
      </c>
      <c r="N11" s="137">
        <f t="shared" si="12"/>
        <v>2085.4699999999998</v>
      </c>
      <c r="O11" s="137">
        <f t="shared" si="13"/>
        <v>4298.4283127193676</v>
      </c>
      <c r="P11" s="137">
        <f t="shared" si="14"/>
        <v>0.23449442636084616</v>
      </c>
      <c r="Q11" s="137">
        <f t="shared" si="15"/>
        <v>0.46539815112131749</v>
      </c>
      <c r="R11" s="137">
        <f t="shared" si="16"/>
        <v>-5.5416893942513124</v>
      </c>
      <c r="S11" s="137">
        <f t="shared" si="17"/>
        <v>0</v>
      </c>
      <c r="T11" s="222">
        <f t="shared" si="18"/>
        <v>0</v>
      </c>
      <c r="U11" s="223">
        <f t="shared" ref="U11:U42" si="25">(U10+MAX(0,+Über*S10))*(1+Zins)</f>
        <v>0</v>
      </c>
      <c r="V11" s="137">
        <f t="shared" ref="V11:V42" si="26">IF(x&lt;Alter,0,$V$6)*(1+Zins)^(x-Alter)</f>
        <v>0</v>
      </c>
      <c r="W11" s="224">
        <f t="shared" ref="W11:W42" si="27">IF(x&lt;X_EIN,0,ROUND(VS+V11+U11,2))</f>
        <v>0</v>
      </c>
      <c r="X11" s="225">
        <f t="shared" si="19"/>
        <v>0</v>
      </c>
      <c r="Y11" s="83">
        <f t="shared" si="20"/>
        <v>0</v>
      </c>
      <c r="Z11" s="141">
        <f t="shared" si="21"/>
        <v>0.34813043529013893</v>
      </c>
      <c r="AA11" s="137">
        <f t="shared" si="22"/>
        <v>0</v>
      </c>
      <c r="AB11" s="221">
        <f t="shared" si="23"/>
        <v>0</v>
      </c>
      <c r="AC11" s="149"/>
      <c r="AD11" s="149"/>
      <c r="AF11" s="1">
        <v>10</v>
      </c>
      <c r="AG11" s="150">
        <v>1.1499999999999999E-4</v>
      </c>
      <c r="AH11" s="150">
        <v>1.07E-4</v>
      </c>
      <c r="AI11" s="150">
        <f t="shared" si="0"/>
        <v>1.1180000000000001E-4</v>
      </c>
      <c r="AJ11" s="160">
        <f t="shared" si="3"/>
        <v>99289.323018899639</v>
      </c>
      <c r="AL11" s="226"/>
      <c r="AM11" s="227"/>
      <c r="AN11" s="163">
        <v>10</v>
      </c>
      <c r="AO11" s="154">
        <f t="shared" si="1"/>
        <v>0</v>
      </c>
      <c r="AP11" s="164">
        <f t="shared" si="2"/>
        <v>0</v>
      </c>
    </row>
    <row r="12" spans="1:42">
      <c r="A12" s="156">
        <v>12</v>
      </c>
      <c r="B12" s="150">
        <v>1.65E-4</v>
      </c>
      <c r="C12" s="150">
        <v>1.07E-4</v>
      </c>
      <c r="D12" s="150">
        <v>1.418E-4</v>
      </c>
      <c r="E12" s="160">
        <f t="shared" si="24"/>
        <v>99264.502222240422</v>
      </c>
      <c r="F12" s="218">
        <f t="shared" si="4"/>
        <v>76003.600927086794</v>
      </c>
      <c r="G12" s="56">
        <f t="shared" si="5"/>
        <v>2588230.8204507018</v>
      </c>
      <c r="H12" s="141">
        <f t="shared" si="6"/>
        <v>0.30674631241295625</v>
      </c>
      <c r="I12" s="219">
        <f t="shared" si="7"/>
        <v>0.30644644254676057</v>
      </c>
      <c r="J12" s="137">
        <f t="shared" si="8"/>
        <v>27.433317539626426</v>
      </c>
      <c r="K12" s="220">
        <f t="shared" si="9"/>
        <v>0</v>
      </c>
      <c r="L12" s="221">
        <f t="shared" si="10"/>
        <v>0</v>
      </c>
      <c r="M12" s="221">
        <f t="shared" si="11"/>
        <v>0</v>
      </c>
      <c r="N12" s="137">
        <f t="shared" si="12"/>
        <v>2128.2199999999998</v>
      </c>
      <c r="O12" s="137">
        <f t="shared" si="13"/>
        <v>4266.4295437627025</v>
      </c>
      <c r="P12" s="137">
        <f t="shared" si="14"/>
        <v>0.2398036918241753</v>
      </c>
      <c r="Q12" s="137">
        <f t="shared" si="15"/>
        <v>0.4619642413060282</v>
      </c>
      <c r="R12" s="137">
        <f t="shared" si="16"/>
        <v>-5.3318531875644695</v>
      </c>
      <c r="S12" s="137">
        <f t="shared" si="17"/>
        <v>0</v>
      </c>
      <c r="T12" s="222">
        <f t="shared" si="18"/>
        <v>0</v>
      </c>
      <c r="U12" s="223">
        <f t="shared" si="25"/>
        <v>0</v>
      </c>
      <c r="V12" s="137">
        <f t="shared" si="26"/>
        <v>0</v>
      </c>
      <c r="W12" s="224">
        <f t="shared" si="27"/>
        <v>0</v>
      </c>
      <c r="X12" s="225">
        <f t="shared" si="19"/>
        <v>0</v>
      </c>
      <c r="Y12" s="83">
        <f t="shared" si="20"/>
        <v>0</v>
      </c>
      <c r="Z12" s="141">
        <f t="shared" si="21"/>
        <v>0.35280642793251143</v>
      </c>
      <c r="AA12" s="137">
        <f t="shared" si="22"/>
        <v>0</v>
      </c>
      <c r="AB12" s="221">
        <f t="shared" si="23"/>
        <v>0</v>
      </c>
      <c r="AC12" s="149"/>
      <c r="AD12" s="149"/>
      <c r="AG12" s="150">
        <v>1.4899999999999999E-4</v>
      </c>
      <c r="AH12" s="150">
        <v>1.22E-4</v>
      </c>
      <c r="AL12" s="226"/>
      <c r="AM12" s="227"/>
      <c r="AN12" s="163">
        <v>11</v>
      </c>
      <c r="AO12" s="154">
        <f t="shared" si="1"/>
        <v>0</v>
      </c>
      <c r="AP12" s="164">
        <f t="shared" si="2"/>
        <v>0</v>
      </c>
    </row>
    <row r="13" spans="1:42">
      <c r="A13" s="156">
        <v>13</v>
      </c>
      <c r="B13" s="150">
        <v>1.6099999999999998E-4</v>
      </c>
      <c r="C13" s="150">
        <v>1.37E-4</v>
      </c>
      <c r="D13" s="150">
        <v>1.5139999999999999E-4</v>
      </c>
      <c r="E13" s="160">
        <f t="shared" si="24"/>
        <v>99250.426515825311</v>
      </c>
      <c r="F13" s="218">
        <f t="shared" si="4"/>
        <v>74320.60989386341</v>
      </c>
      <c r="G13" s="56">
        <f t="shared" si="5"/>
        <v>2512227.2195236147</v>
      </c>
      <c r="H13" s="141">
        <f t="shared" si="6"/>
        <v>0.31222409444257354</v>
      </c>
      <c r="I13" s="219">
        <f t="shared" si="7"/>
        <v>0.31186850931131893</v>
      </c>
      <c r="J13" s="137">
        <f t="shared" si="8"/>
        <v>27.223004741806403</v>
      </c>
      <c r="K13" s="220">
        <f t="shared" si="9"/>
        <v>0</v>
      </c>
      <c r="L13" s="221">
        <f t="shared" si="10"/>
        <v>0</v>
      </c>
      <c r="M13" s="221">
        <f t="shared" si="11"/>
        <v>0</v>
      </c>
      <c r="N13" s="137">
        <f t="shared" si="12"/>
        <v>2171.91</v>
      </c>
      <c r="O13" s="137">
        <f t="shared" si="13"/>
        <v>4233.7216974457324</v>
      </c>
      <c r="P13" s="137">
        <f t="shared" si="14"/>
        <v>0.24523404907837856</v>
      </c>
      <c r="Q13" s="137">
        <f t="shared" si="15"/>
        <v>0.45845423387210926</v>
      </c>
      <c r="R13" s="137">
        <f t="shared" si="16"/>
        <v>-5.1172844350495366</v>
      </c>
      <c r="S13" s="137">
        <f t="shared" si="17"/>
        <v>0</v>
      </c>
      <c r="T13" s="222">
        <f t="shared" si="18"/>
        <v>0</v>
      </c>
      <c r="U13" s="223">
        <f t="shared" si="25"/>
        <v>0</v>
      </c>
      <c r="V13" s="137">
        <f t="shared" si="26"/>
        <v>0</v>
      </c>
      <c r="W13" s="224">
        <f t="shared" si="27"/>
        <v>0</v>
      </c>
      <c r="X13" s="225">
        <f t="shared" si="19"/>
        <v>0</v>
      </c>
      <c r="Y13" s="83">
        <f t="shared" si="20"/>
        <v>0</v>
      </c>
      <c r="Z13" s="141">
        <f t="shared" si="21"/>
        <v>0.35758597825271343</v>
      </c>
      <c r="AA13" s="137">
        <f t="shared" si="22"/>
        <v>0</v>
      </c>
      <c r="AB13" s="221">
        <f t="shared" si="23"/>
        <v>0</v>
      </c>
      <c r="AC13" s="149"/>
      <c r="AD13" s="149"/>
      <c r="AG13" s="150">
        <v>1.65E-4</v>
      </c>
      <c r="AH13" s="150">
        <v>1.07E-4</v>
      </c>
      <c r="AL13" s="228"/>
      <c r="AM13" s="229"/>
      <c r="AN13" s="230" t="s">
        <v>121</v>
      </c>
      <c r="AO13" s="231">
        <f>SUM(AO1:AO12)</f>
        <v>1.4805929731294971</v>
      </c>
      <c r="AP13" s="232">
        <f>SUM(AP1:AP12)</f>
        <v>4</v>
      </c>
    </row>
    <row r="14" spans="1:42">
      <c r="A14" s="156">
        <v>14</v>
      </c>
      <c r="B14" s="150">
        <v>2.1799999999999999E-4</v>
      </c>
      <c r="C14" s="150">
        <v>1.65E-4</v>
      </c>
      <c r="D14" s="150">
        <v>1.9680000000000001E-4</v>
      </c>
      <c r="E14" s="160">
        <f t="shared" si="24"/>
        <v>99235.400001250819</v>
      </c>
      <c r="F14" s="218">
        <f t="shared" si="4"/>
        <v>72674.188512005378</v>
      </c>
      <c r="G14" s="56">
        <f t="shared" si="5"/>
        <v>2437906.6096297512</v>
      </c>
      <c r="H14" s="141">
        <f t="shared" si="6"/>
        <v>0.31781887957038157</v>
      </c>
      <c r="I14" s="219">
        <f t="shared" si="7"/>
        <v>0.31735114064121561</v>
      </c>
      <c r="J14" s="137">
        <f t="shared" si="8"/>
        <v>27.008191703738987</v>
      </c>
      <c r="K14" s="220">
        <f t="shared" si="9"/>
        <v>0</v>
      </c>
      <c r="L14" s="221">
        <f t="shared" si="10"/>
        <v>0</v>
      </c>
      <c r="M14" s="221">
        <f t="shared" si="11"/>
        <v>0</v>
      </c>
      <c r="N14" s="137">
        <f t="shared" si="12"/>
        <v>2216.5300000000002</v>
      </c>
      <c r="O14" s="137">
        <f t="shared" si="13"/>
        <v>4200.3139737654874</v>
      </c>
      <c r="P14" s="137">
        <f t="shared" si="14"/>
        <v>0.25078978475605407</v>
      </c>
      <c r="Q14" s="137">
        <f t="shared" si="15"/>
        <v>0.45486910964376426</v>
      </c>
      <c r="R14" s="137">
        <f t="shared" si="16"/>
        <v>-4.8979037973050445</v>
      </c>
      <c r="S14" s="137">
        <f t="shared" si="17"/>
        <v>0</v>
      </c>
      <c r="T14" s="222">
        <f t="shared" si="18"/>
        <v>0</v>
      </c>
      <c r="U14" s="223">
        <f t="shared" si="25"/>
        <v>0</v>
      </c>
      <c r="V14" s="137">
        <f t="shared" si="26"/>
        <v>0</v>
      </c>
      <c r="W14" s="224">
        <f t="shared" si="27"/>
        <v>0</v>
      </c>
      <c r="X14" s="225">
        <f t="shared" si="19"/>
        <v>0</v>
      </c>
      <c r="Y14" s="83">
        <f t="shared" si="20"/>
        <v>0</v>
      </c>
      <c r="Z14" s="141">
        <f t="shared" si="21"/>
        <v>0.36246764036414414</v>
      </c>
      <c r="AA14" s="137">
        <f t="shared" si="22"/>
        <v>0</v>
      </c>
      <c r="AB14" s="221">
        <f t="shared" si="23"/>
        <v>0</v>
      </c>
      <c r="AC14" s="149"/>
      <c r="AD14" s="149"/>
      <c r="AG14" s="150">
        <v>1.6099999999999998E-4</v>
      </c>
      <c r="AH14" s="150">
        <v>1.37E-4</v>
      </c>
    </row>
    <row r="15" spans="1:42">
      <c r="A15" s="156">
        <v>15</v>
      </c>
      <c r="B15" s="150">
        <v>2.81E-4</v>
      </c>
      <c r="C15" s="150">
        <v>2.05E-4</v>
      </c>
      <c r="D15" s="150">
        <v>2.5060000000000002E-4</v>
      </c>
      <c r="E15" s="160">
        <f t="shared" si="24"/>
        <v>99215.870474530573</v>
      </c>
      <c r="F15" s="218">
        <f t="shared" si="4"/>
        <v>71061.013429541534</v>
      </c>
      <c r="G15" s="56">
        <f t="shared" si="5"/>
        <v>2365232.4211177458</v>
      </c>
      <c r="H15" s="141">
        <f t="shared" si="6"/>
        <v>0.32350737192710011</v>
      </c>
      <c r="I15" s="219">
        <f t="shared" si="7"/>
        <v>0.32289566338912851</v>
      </c>
      <c r="J15" s="137">
        <f t="shared" si="8"/>
        <v>26.789742644241493</v>
      </c>
      <c r="K15" s="220">
        <f t="shared" si="9"/>
        <v>0</v>
      </c>
      <c r="L15" s="221">
        <f t="shared" si="10"/>
        <v>0</v>
      </c>
      <c r="M15" s="221">
        <f t="shared" si="11"/>
        <v>0</v>
      </c>
      <c r="N15" s="137">
        <f t="shared" si="12"/>
        <v>2261.9</v>
      </c>
      <c r="O15" s="137">
        <f t="shared" si="13"/>
        <v>4166.3407760324371</v>
      </c>
      <c r="P15" s="137">
        <f t="shared" si="14"/>
        <v>0.25648303077352153</v>
      </c>
      <c r="Q15" s="137">
        <f t="shared" si="15"/>
        <v>0.45122325367340432</v>
      </c>
      <c r="R15" s="137">
        <f t="shared" si="16"/>
        <v>-4.6737653495971871</v>
      </c>
      <c r="S15" s="137">
        <f t="shared" si="17"/>
        <v>0</v>
      </c>
      <c r="T15" s="222">
        <f t="shared" si="18"/>
        <v>0</v>
      </c>
      <c r="U15" s="223">
        <f t="shared" si="25"/>
        <v>0</v>
      </c>
      <c r="V15" s="137">
        <f t="shared" si="26"/>
        <v>0</v>
      </c>
      <c r="W15" s="224">
        <f t="shared" si="27"/>
        <v>0</v>
      </c>
      <c r="X15" s="225">
        <f t="shared" si="19"/>
        <v>0</v>
      </c>
      <c r="Y15" s="83">
        <f t="shared" si="20"/>
        <v>0</v>
      </c>
      <c r="Z15" s="141">
        <f t="shared" si="21"/>
        <v>0.36743117272713471</v>
      </c>
      <c r="AA15" s="137">
        <f t="shared" si="22"/>
        <v>0</v>
      </c>
      <c r="AB15" s="221">
        <f t="shared" si="23"/>
        <v>0</v>
      </c>
      <c r="AC15" s="149"/>
      <c r="AD15" s="149"/>
      <c r="AG15" s="150">
        <v>2.1799999999999999E-4</v>
      </c>
      <c r="AH15" s="150">
        <v>1.65E-4</v>
      </c>
    </row>
    <row r="16" spans="1:42">
      <c r="A16" s="156">
        <v>16</v>
      </c>
      <c r="B16" s="150">
        <v>4.3799999999999997E-4</v>
      </c>
      <c r="C16" s="150">
        <v>2.2799999999999999E-4</v>
      </c>
      <c r="D16" s="150">
        <v>3.5400000000000004E-4</v>
      </c>
      <c r="E16" s="160">
        <f t="shared" si="24"/>
        <v>99191.006977389654</v>
      </c>
      <c r="F16" s="218">
        <f t="shared" si="4"/>
        <v>69479.90761816733</v>
      </c>
      <c r="G16" s="56">
        <f t="shared" si="5"/>
        <v>2294171.4076882042</v>
      </c>
      <c r="H16" s="141">
        <f t="shared" si="6"/>
        <v>0.3292861543380815</v>
      </c>
      <c r="I16" s="219">
        <f t="shared" si="7"/>
        <v>0.3284544990227839</v>
      </c>
      <c r="J16" s="137">
        <f t="shared" si="8"/>
        <v>26.567780843338266</v>
      </c>
      <c r="K16" s="220">
        <f t="shared" si="9"/>
        <v>0</v>
      </c>
      <c r="L16" s="221">
        <f t="shared" si="10"/>
        <v>0</v>
      </c>
      <c r="M16" s="221">
        <f t="shared" si="11"/>
        <v>0</v>
      </c>
      <c r="N16" s="137">
        <f t="shared" si="12"/>
        <v>2307.9899999999998</v>
      </c>
      <c r="O16" s="137">
        <f t="shared" si="13"/>
        <v>4131.8212767559671</v>
      </c>
      <c r="P16" s="137">
        <f t="shared" si="14"/>
        <v>0.26231963626677418</v>
      </c>
      <c r="Q16" s="137">
        <f t="shared" si="15"/>
        <v>0.44751871339696564</v>
      </c>
      <c r="R16" s="137">
        <f t="shared" si="16"/>
        <v>-4.444777851124595</v>
      </c>
      <c r="S16" s="137">
        <f t="shared" si="17"/>
        <v>0</v>
      </c>
      <c r="T16" s="222">
        <f t="shared" si="18"/>
        <v>0</v>
      </c>
      <c r="U16" s="223">
        <f t="shared" si="25"/>
        <v>0</v>
      </c>
      <c r="V16" s="137">
        <f t="shared" si="26"/>
        <v>0</v>
      </c>
      <c r="W16" s="224">
        <f t="shared" si="27"/>
        <v>0</v>
      </c>
      <c r="X16" s="225">
        <f t="shared" si="19"/>
        <v>0</v>
      </c>
      <c r="Y16" s="83">
        <f t="shared" si="20"/>
        <v>0</v>
      </c>
      <c r="Z16" s="141">
        <f t="shared" si="21"/>
        <v>0.37247361600166418</v>
      </c>
      <c r="AA16" s="137">
        <f t="shared" si="22"/>
        <v>0</v>
      </c>
      <c r="AB16" s="221">
        <f t="shared" si="23"/>
        <v>0</v>
      </c>
      <c r="AC16" s="149"/>
      <c r="AD16" s="149"/>
      <c r="AG16" s="150">
        <v>2.81E-4</v>
      </c>
      <c r="AH16" s="150">
        <v>2.05E-4</v>
      </c>
    </row>
    <row r="17" spans="1:34">
      <c r="A17" s="156">
        <v>17</v>
      </c>
      <c r="B17" s="150">
        <v>5.4500000000000002E-4</v>
      </c>
      <c r="C17" s="150">
        <v>2.5900000000000001E-4</v>
      </c>
      <c r="D17" s="150">
        <v>4.3060000000000006E-4</v>
      </c>
      <c r="E17" s="160">
        <f t="shared" si="24"/>
        <v>99155.893360919668</v>
      </c>
      <c r="F17" s="218">
        <f t="shared" si="4"/>
        <v>67926.955238015173</v>
      </c>
      <c r="G17" s="56">
        <f t="shared" si="5"/>
        <v>2224691.5000700369</v>
      </c>
      <c r="H17" s="141">
        <f t="shared" si="6"/>
        <v>0.33512238078652046</v>
      </c>
      <c r="I17" s="219">
        <f t="shared" si="7"/>
        <v>0.33407223581353751</v>
      </c>
      <c r="J17" s="137">
        <f t="shared" si="8"/>
        <v>26.343524716042854</v>
      </c>
      <c r="K17" s="220">
        <f t="shared" si="9"/>
        <v>0</v>
      </c>
      <c r="L17" s="221">
        <f t="shared" si="10"/>
        <v>0</v>
      </c>
      <c r="M17" s="221">
        <f t="shared" si="11"/>
        <v>0</v>
      </c>
      <c r="N17" s="137">
        <f t="shared" si="12"/>
        <v>2354.54</v>
      </c>
      <c r="O17" s="137">
        <f t="shared" si="13"/>
        <v>4096.9449638389851</v>
      </c>
      <c r="P17" s="137">
        <f t="shared" si="14"/>
        <v>0.26831681223430748</v>
      </c>
      <c r="Q17" s="137">
        <f t="shared" si="15"/>
        <v>0.44377576939709634</v>
      </c>
      <c r="R17" s="137">
        <f t="shared" si="16"/>
        <v>-4.2110149719069323</v>
      </c>
      <c r="S17" s="137">
        <f t="shared" si="17"/>
        <v>0</v>
      </c>
      <c r="T17" s="222">
        <f t="shared" si="18"/>
        <v>0</v>
      </c>
      <c r="U17" s="223">
        <f t="shared" si="25"/>
        <v>0</v>
      </c>
      <c r="V17" s="137">
        <f t="shared" si="26"/>
        <v>0</v>
      </c>
      <c r="W17" s="224">
        <f t="shared" si="27"/>
        <v>0</v>
      </c>
      <c r="X17" s="225">
        <f t="shared" si="19"/>
        <v>0</v>
      </c>
      <c r="Y17" s="83">
        <f t="shared" si="20"/>
        <v>0</v>
      </c>
      <c r="Z17" s="141">
        <f t="shared" si="21"/>
        <v>0.37756643087823216</v>
      </c>
      <c r="AA17" s="137">
        <f t="shared" si="22"/>
        <v>0</v>
      </c>
      <c r="AB17" s="221">
        <f t="shared" si="23"/>
        <v>0</v>
      </c>
      <c r="AC17" s="149"/>
      <c r="AD17" s="149"/>
      <c r="AG17" s="150">
        <v>4.3799999999999997E-4</v>
      </c>
      <c r="AH17" s="150">
        <v>2.2799999999999999E-4</v>
      </c>
    </row>
    <row r="18" spans="1:34">
      <c r="A18" s="156">
        <v>18</v>
      </c>
      <c r="B18" s="150">
        <v>8.5799999999999993E-4</v>
      </c>
      <c r="C18" s="150">
        <v>3.3199999999999999E-4</v>
      </c>
      <c r="D18" s="150">
        <v>6.4760000000000002E-4</v>
      </c>
      <c r="E18" s="160">
        <f t="shared" si="24"/>
        <v>99113.196833238457</v>
      </c>
      <c r="F18" s="218">
        <f t="shared" si="4"/>
        <v>66403.62434336399</v>
      </c>
      <c r="G18" s="56">
        <f t="shared" si="5"/>
        <v>2156764.5448320215</v>
      </c>
      <c r="H18" s="141">
        <f t="shared" si="6"/>
        <v>0.34103761884948958</v>
      </c>
      <c r="I18" s="219">
        <f t="shared" si="7"/>
        <v>0.33976538069834794</v>
      </c>
      <c r="J18" s="137">
        <f t="shared" si="8"/>
        <v>26.116166613819725</v>
      </c>
      <c r="K18" s="220">
        <f t="shared" si="9"/>
        <v>1</v>
      </c>
      <c r="L18" s="221">
        <f t="shared" si="10"/>
        <v>6.48</v>
      </c>
      <c r="M18" s="221">
        <f t="shared" si="11"/>
        <v>6.48</v>
      </c>
      <c r="N18" s="137">
        <f t="shared" si="12"/>
        <v>2401.71</v>
      </c>
      <c r="O18" s="137">
        <f t="shared" si="13"/>
        <v>4061.5862317812439</v>
      </c>
      <c r="P18" s="137">
        <f t="shared" si="14"/>
        <v>0.27447212820798578</v>
      </c>
      <c r="Q18" s="137">
        <f t="shared" si="15"/>
        <v>0.43998096833983064</v>
      </c>
      <c r="R18" s="137">
        <f t="shared" si="16"/>
        <v>-3.9722121631642766</v>
      </c>
      <c r="S18" s="137">
        <f t="shared" si="17"/>
        <v>0</v>
      </c>
      <c r="T18" s="222">
        <f t="shared" si="18"/>
        <v>0</v>
      </c>
      <c r="U18" s="223">
        <f t="shared" si="25"/>
        <v>0</v>
      </c>
      <c r="V18" s="137">
        <f t="shared" si="26"/>
        <v>0</v>
      </c>
      <c r="W18" s="224">
        <f t="shared" si="27"/>
        <v>0</v>
      </c>
      <c r="X18" s="225">
        <f t="shared" si="19"/>
        <v>0</v>
      </c>
      <c r="Y18" s="83">
        <f t="shared" si="20"/>
        <v>0</v>
      </c>
      <c r="Z18" s="141">
        <f t="shared" si="21"/>
        <v>0.38272837841273266</v>
      </c>
      <c r="AA18" s="137">
        <f t="shared" si="22"/>
        <v>0</v>
      </c>
      <c r="AB18" s="221">
        <f t="shared" si="23"/>
        <v>0</v>
      </c>
      <c r="AC18" s="149"/>
      <c r="AD18" s="149"/>
      <c r="AG18" s="150">
        <v>5.4500000000000002E-4</v>
      </c>
      <c r="AH18" s="150">
        <v>2.5900000000000001E-4</v>
      </c>
    </row>
    <row r="19" spans="1:34">
      <c r="A19" s="156">
        <v>19</v>
      </c>
      <c r="B19" s="150">
        <v>8.7499999999999991E-4</v>
      </c>
      <c r="C19" s="150">
        <v>3.3000000000000005E-4</v>
      </c>
      <c r="D19" s="150">
        <v>6.5700000000000014E-4</v>
      </c>
      <c r="E19" s="160">
        <f t="shared" si="24"/>
        <v>99049.011126969257</v>
      </c>
      <c r="F19" s="218">
        <f t="shared" si="4"/>
        <v>64900.363184586051</v>
      </c>
      <c r="G19" s="56">
        <f t="shared" si="5"/>
        <v>2090360.9204886574</v>
      </c>
      <c r="H19" s="141">
        <f t="shared" si="6"/>
        <v>0.34693566683773519</v>
      </c>
      <c r="I19" s="219">
        <f t="shared" si="7"/>
        <v>0.3456541926420853</v>
      </c>
      <c r="J19" s="137">
        <f t="shared" si="8"/>
        <v>25.889280581347144</v>
      </c>
      <c r="K19" s="220">
        <f t="shared" si="9"/>
        <v>1</v>
      </c>
      <c r="L19" s="221">
        <f t="shared" si="10"/>
        <v>6.7200000000000006</v>
      </c>
      <c r="M19" s="221">
        <f t="shared" si="11"/>
        <v>6.7200000000000006</v>
      </c>
      <c r="N19" s="137">
        <f t="shared" si="12"/>
        <v>2448.75</v>
      </c>
      <c r="O19" s="137">
        <f t="shared" si="13"/>
        <v>4026.3009160111083</v>
      </c>
      <c r="P19" s="137">
        <f t="shared" si="14"/>
        <v>0.28082961635221509</v>
      </c>
      <c r="Q19" s="137">
        <f t="shared" si="15"/>
        <v>0.43619380756358744</v>
      </c>
      <c r="R19" s="137">
        <f t="shared" si="16"/>
        <v>-3.7287405890729364</v>
      </c>
      <c r="S19" s="137">
        <f t="shared" si="17"/>
        <v>0</v>
      </c>
      <c r="T19" s="222">
        <f t="shared" si="18"/>
        <v>0</v>
      </c>
      <c r="U19" s="223">
        <f t="shared" si="25"/>
        <v>0</v>
      </c>
      <c r="V19" s="137">
        <f t="shared" si="26"/>
        <v>0</v>
      </c>
      <c r="W19" s="224">
        <f t="shared" si="27"/>
        <v>0</v>
      </c>
      <c r="X19" s="225">
        <f t="shared" si="19"/>
        <v>0</v>
      </c>
      <c r="Y19" s="83">
        <f t="shared" si="20"/>
        <v>0</v>
      </c>
      <c r="Z19" s="141">
        <f t="shared" si="21"/>
        <v>0.38787585533093455</v>
      </c>
      <c r="AA19" s="137">
        <f t="shared" si="22"/>
        <v>0</v>
      </c>
      <c r="AB19" s="221">
        <f t="shared" si="23"/>
        <v>0</v>
      </c>
      <c r="AC19" s="149"/>
      <c r="AD19" s="149"/>
      <c r="AG19" s="150">
        <v>8.5799999999999993E-4</v>
      </c>
      <c r="AH19" s="150">
        <v>3.3199999999999999E-4</v>
      </c>
    </row>
    <row r="20" spans="1:34">
      <c r="A20" s="156">
        <v>20</v>
      </c>
      <c r="B20" s="150">
        <v>8.8000000000000003E-4</v>
      </c>
      <c r="C20" s="150">
        <v>3.3500000000000001E-4</v>
      </c>
      <c r="D20" s="150">
        <v>6.6200000000000015E-4</v>
      </c>
      <c r="E20" s="160">
        <f t="shared" si="24"/>
        <v>98983.935926658844</v>
      </c>
      <c r="F20" s="218">
        <f t="shared" si="4"/>
        <v>63430.536573079495</v>
      </c>
      <c r="G20" s="56">
        <f t="shared" si="5"/>
        <v>2025460.5573040713</v>
      </c>
      <c r="H20" s="141">
        <f t="shared" si="6"/>
        <v>0.35296376139735025</v>
      </c>
      <c r="I20" s="219">
        <f t="shared" si="7"/>
        <v>0.3516850524792815</v>
      </c>
      <c r="J20" s="137">
        <f t="shared" si="8"/>
        <v>25.657383533498958</v>
      </c>
      <c r="K20" s="220">
        <f t="shared" si="9"/>
        <v>1</v>
      </c>
      <c r="L20" s="221">
        <f t="shared" si="10"/>
        <v>6.84</v>
      </c>
      <c r="M20" s="221">
        <f t="shared" si="11"/>
        <v>6.84</v>
      </c>
      <c r="N20" s="137">
        <f t="shared" si="12"/>
        <v>2496.81</v>
      </c>
      <c r="O20" s="137">
        <f t="shared" si="13"/>
        <v>3990.2362871297582</v>
      </c>
      <c r="P20" s="137">
        <f t="shared" si="14"/>
        <v>0.28733706317064306</v>
      </c>
      <c r="Q20" s="137">
        <f t="shared" si="15"/>
        <v>0.43232299276634811</v>
      </c>
      <c r="R20" s="137">
        <f t="shared" si="16"/>
        <v>-3.4796623102969213</v>
      </c>
      <c r="S20" s="137">
        <f t="shared" si="17"/>
        <v>0</v>
      </c>
      <c r="T20" s="222">
        <f t="shared" si="18"/>
        <v>0</v>
      </c>
      <c r="U20" s="223">
        <f t="shared" si="25"/>
        <v>0</v>
      </c>
      <c r="V20" s="137">
        <f t="shared" si="26"/>
        <v>0</v>
      </c>
      <c r="W20" s="224">
        <f t="shared" si="27"/>
        <v>0</v>
      </c>
      <c r="X20" s="225">
        <f t="shared" si="19"/>
        <v>0</v>
      </c>
      <c r="Y20" s="83">
        <f t="shared" si="20"/>
        <v>0</v>
      </c>
      <c r="Z20" s="141">
        <f t="shared" si="21"/>
        <v>0.39313685298829265</v>
      </c>
      <c r="AA20" s="137">
        <f t="shared" si="22"/>
        <v>0</v>
      </c>
      <c r="AB20" s="221">
        <f t="shared" si="23"/>
        <v>0</v>
      </c>
      <c r="AC20" s="149"/>
      <c r="AD20" s="149"/>
      <c r="AG20" s="150">
        <v>8.7499999999999991E-4</v>
      </c>
      <c r="AH20" s="150">
        <v>3.3000000000000005E-4</v>
      </c>
    </row>
    <row r="21" spans="1:34">
      <c r="A21" s="156">
        <v>21</v>
      </c>
      <c r="B21" s="150">
        <v>8.7000000000000011E-4</v>
      </c>
      <c r="C21" s="150">
        <v>3.2399999999999996E-4</v>
      </c>
      <c r="D21" s="150">
        <v>6.5160000000000012E-4</v>
      </c>
      <c r="E21" s="160">
        <f t="shared" si="24"/>
        <v>98918.408561075397</v>
      </c>
      <c r="F21" s="218">
        <f t="shared" si="4"/>
        <v>61993.687587157088</v>
      </c>
      <c r="G21" s="56">
        <f t="shared" si="5"/>
        <v>1962030.0207309918</v>
      </c>
      <c r="H21" s="141">
        <f t="shared" si="6"/>
        <v>0.35912807774368272</v>
      </c>
      <c r="I21" s="219">
        <f t="shared" si="7"/>
        <v>0.35786202346539236</v>
      </c>
      <c r="J21" s="137">
        <f t="shared" si="8"/>
        <v>25.420241652916914</v>
      </c>
      <c r="K21" s="220">
        <f t="shared" si="9"/>
        <v>1</v>
      </c>
      <c r="L21" s="221">
        <f t="shared" si="10"/>
        <v>7.08</v>
      </c>
      <c r="M21" s="221">
        <f t="shared" si="11"/>
        <v>7.08</v>
      </c>
      <c r="N21" s="137">
        <f t="shared" si="12"/>
        <v>2545.9699999999998</v>
      </c>
      <c r="O21" s="137">
        <f t="shared" si="13"/>
        <v>3953.3559818616386</v>
      </c>
      <c r="P21" s="137">
        <f t="shared" si="14"/>
        <v>0.29399677295567911</v>
      </c>
      <c r="Q21" s="137">
        <f t="shared" si="15"/>
        <v>0.42836462581221113</v>
      </c>
      <c r="R21" s="137">
        <f t="shared" si="16"/>
        <v>-3.2248284685567685</v>
      </c>
      <c r="S21" s="137">
        <f t="shared" si="17"/>
        <v>0</v>
      </c>
      <c r="T21" s="222">
        <f t="shared" si="18"/>
        <v>0</v>
      </c>
      <c r="U21" s="223">
        <f t="shared" si="25"/>
        <v>0</v>
      </c>
      <c r="V21" s="137">
        <f t="shared" si="26"/>
        <v>0</v>
      </c>
      <c r="W21" s="224">
        <f t="shared" si="27"/>
        <v>0</v>
      </c>
      <c r="X21" s="225">
        <f t="shared" si="19"/>
        <v>0</v>
      </c>
      <c r="Y21" s="83">
        <f t="shared" si="20"/>
        <v>0</v>
      </c>
      <c r="Z21" s="141">
        <f t="shared" si="21"/>
        <v>0.39851675026920796</v>
      </c>
      <c r="AA21" s="137">
        <f t="shared" si="22"/>
        <v>0</v>
      </c>
      <c r="AB21" s="221">
        <f t="shared" si="23"/>
        <v>0</v>
      </c>
      <c r="AC21" s="149"/>
      <c r="AD21" s="149"/>
      <c r="AG21" s="150">
        <v>8.8000000000000003E-4</v>
      </c>
      <c r="AH21" s="150">
        <v>3.3500000000000001E-4</v>
      </c>
    </row>
    <row r="22" spans="1:34">
      <c r="A22" s="156">
        <v>22</v>
      </c>
      <c r="B22" s="150">
        <v>8.6599999999999991E-4</v>
      </c>
      <c r="C22" s="150">
        <v>3.2199999999999997E-4</v>
      </c>
      <c r="D22" s="150">
        <v>6.4840000000000004E-4</v>
      </c>
      <c r="E22" s="160">
        <f t="shared" si="24"/>
        <v>98853.953326057002</v>
      </c>
      <c r="F22" s="218">
        <f t="shared" si="4"/>
        <v>60590.017115232564</v>
      </c>
      <c r="G22" s="56">
        <f t="shared" si="5"/>
        <v>1900036.3331438347</v>
      </c>
      <c r="H22" s="141">
        <f t="shared" si="6"/>
        <v>0.36544240303933578</v>
      </c>
      <c r="I22" s="219">
        <f t="shared" si="7"/>
        <v>0.36417889597190384</v>
      </c>
      <c r="J22" s="137">
        <f t="shared" si="8"/>
        <v>25.177338205774429</v>
      </c>
      <c r="K22" s="220">
        <f t="shared" si="9"/>
        <v>1</v>
      </c>
      <c r="L22" s="221">
        <f t="shared" si="10"/>
        <v>7.1999999999999993</v>
      </c>
      <c r="M22" s="221">
        <f t="shared" si="11"/>
        <v>7.1999999999999993</v>
      </c>
      <c r="N22" s="137">
        <f t="shared" si="12"/>
        <v>2596.3200000000002</v>
      </c>
      <c r="O22" s="137">
        <f t="shared" si="13"/>
        <v>3915.5796377620395</v>
      </c>
      <c r="P22" s="137">
        <f t="shared" si="14"/>
        <v>0.30080770664883427</v>
      </c>
      <c r="Q22" s="137">
        <f t="shared" si="15"/>
        <v>0.42431009867961805</v>
      </c>
      <c r="R22" s="137">
        <f t="shared" si="16"/>
        <v>-2.9640574087388107</v>
      </c>
      <c r="S22" s="137">
        <f t="shared" si="17"/>
        <v>0</v>
      </c>
      <c r="T22" s="222">
        <f t="shared" si="18"/>
        <v>0</v>
      </c>
      <c r="U22" s="223">
        <f t="shared" si="25"/>
        <v>0</v>
      </c>
      <c r="V22" s="137">
        <f t="shared" si="26"/>
        <v>0</v>
      </c>
      <c r="W22" s="224">
        <f t="shared" si="27"/>
        <v>0</v>
      </c>
      <c r="X22" s="225">
        <f t="shared" si="19"/>
        <v>0</v>
      </c>
      <c r="Y22" s="83">
        <f t="shared" si="20"/>
        <v>0</v>
      </c>
      <c r="Z22" s="141">
        <f t="shared" si="21"/>
        <v>0.40402754149630232</v>
      </c>
      <c r="AA22" s="137">
        <f t="shared" si="22"/>
        <v>0</v>
      </c>
      <c r="AB22" s="221">
        <f t="shared" si="23"/>
        <v>0</v>
      </c>
      <c r="AC22" s="149"/>
      <c r="AD22" s="149"/>
      <c r="AG22" s="150">
        <v>8.7000000000000011E-4</v>
      </c>
      <c r="AH22" s="150">
        <v>3.2399999999999996E-4</v>
      </c>
    </row>
    <row r="23" spans="1:34">
      <c r="A23" s="156">
        <v>23</v>
      </c>
      <c r="B23" s="150">
        <v>8.6299999999999994E-4</v>
      </c>
      <c r="C23" s="150">
        <v>3.2399999999999996E-4</v>
      </c>
      <c r="D23" s="150">
        <v>6.4740000000000002E-4</v>
      </c>
      <c r="E23" s="160">
        <f t="shared" si="24"/>
        <v>98789.85642272039</v>
      </c>
      <c r="F23" s="218">
        <f t="shared" si="4"/>
        <v>59218.318384484162</v>
      </c>
      <c r="G23" s="56">
        <f t="shared" si="5"/>
        <v>1839446.3160286022</v>
      </c>
      <c r="H23" s="141">
        <f t="shared" si="6"/>
        <v>0.37190518550635304</v>
      </c>
      <c r="I23" s="219">
        <f t="shared" si="7"/>
        <v>0.370639019490769</v>
      </c>
      <c r="J23" s="137">
        <f t="shared" si="8"/>
        <v>24.928726670685624</v>
      </c>
      <c r="K23" s="220">
        <f t="shared" si="9"/>
        <v>1</v>
      </c>
      <c r="L23" s="221">
        <f t="shared" si="10"/>
        <v>7.4399999999999995</v>
      </c>
      <c r="M23" s="221">
        <f t="shared" si="11"/>
        <v>7.4399999999999995</v>
      </c>
      <c r="N23" s="137">
        <f t="shared" si="12"/>
        <v>2647.85</v>
      </c>
      <c r="O23" s="137">
        <f t="shared" si="13"/>
        <v>3876.9155718250286</v>
      </c>
      <c r="P23" s="137">
        <f t="shared" si="14"/>
        <v>0.30777544164479553</v>
      </c>
      <c r="Q23" s="137">
        <f t="shared" si="15"/>
        <v>0.42016029616227346</v>
      </c>
      <c r="R23" s="137">
        <f t="shared" si="16"/>
        <v>-2.6972365084194703</v>
      </c>
      <c r="S23" s="137">
        <f t="shared" si="17"/>
        <v>0</v>
      </c>
      <c r="T23" s="222">
        <f t="shared" si="18"/>
        <v>0</v>
      </c>
      <c r="U23" s="223">
        <f t="shared" si="25"/>
        <v>0</v>
      </c>
      <c r="V23" s="137">
        <f t="shared" si="26"/>
        <v>0</v>
      </c>
      <c r="W23" s="224">
        <f t="shared" si="27"/>
        <v>0</v>
      </c>
      <c r="X23" s="225">
        <f t="shared" si="19"/>
        <v>0</v>
      </c>
      <c r="Y23" s="83">
        <f t="shared" si="20"/>
        <v>0</v>
      </c>
      <c r="Z23" s="141">
        <f t="shared" si="21"/>
        <v>0.40966788983974284</v>
      </c>
      <c r="AA23" s="137">
        <f t="shared" si="22"/>
        <v>0</v>
      </c>
      <c r="AB23" s="221">
        <f t="shared" si="23"/>
        <v>0</v>
      </c>
      <c r="AC23" s="149"/>
      <c r="AD23" s="149"/>
      <c r="AG23" s="150">
        <v>8.6599999999999991E-4</v>
      </c>
      <c r="AH23" s="150">
        <v>3.2199999999999997E-4</v>
      </c>
    </row>
    <row r="24" spans="1:34">
      <c r="A24" s="156">
        <v>24</v>
      </c>
      <c r="B24" s="150">
        <v>8.6699999999999993E-4</v>
      </c>
      <c r="C24" s="150">
        <v>3.28E-4</v>
      </c>
      <c r="D24" s="150">
        <v>6.5140000000000011E-4</v>
      </c>
      <c r="E24" s="160">
        <f t="shared" si="24"/>
        <v>98725.899869672328</v>
      </c>
      <c r="F24" s="218">
        <f t="shared" si="4"/>
        <v>57877.731486711054</v>
      </c>
      <c r="G24" s="56">
        <f t="shared" si="5"/>
        <v>1780227.997644118</v>
      </c>
      <c r="H24" s="141">
        <f t="shared" si="6"/>
        <v>0.37851834121811684</v>
      </c>
      <c r="I24" s="219">
        <f t="shared" si="7"/>
        <v>0.37724414251441374</v>
      </c>
      <c r="J24" s="137">
        <f t="shared" si="8"/>
        <v>24.674331441489265</v>
      </c>
      <c r="K24" s="220">
        <f t="shared" si="9"/>
        <v>1</v>
      </c>
      <c r="L24" s="221">
        <f t="shared" si="10"/>
        <v>7.68</v>
      </c>
      <c r="M24" s="221">
        <f t="shared" si="11"/>
        <v>7.68</v>
      </c>
      <c r="N24" s="137">
        <f t="shared" si="12"/>
        <v>2700.59</v>
      </c>
      <c r="O24" s="137">
        <f t="shared" si="13"/>
        <v>3837.3520257804107</v>
      </c>
      <c r="P24" s="137">
        <f t="shared" si="14"/>
        <v>0.31490425809849631</v>
      </c>
      <c r="Q24" s="137">
        <f t="shared" si="15"/>
        <v>0.41591395384597701</v>
      </c>
      <c r="R24" s="137">
        <f t="shared" si="16"/>
        <v>-2.4242326979395368</v>
      </c>
      <c r="S24" s="137">
        <f t="shared" si="17"/>
        <v>0</v>
      </c>
      <c r="T24" s="222">
        <f t="shared" si="18"/>
        <v>0</v>
      </c>
      <c r="U24" s="223">
        <f t="shared" si="25"/>
        <v>0</v>
      </c>
      <c r="V24" s="137">
        <f t="shared" si="26"/>
        <v>0</v>
      </c>
      <c r="W24" s="224">
        <f t="shared" si="27"/>
        <v>0</v>
      </c>
      <c r="X24" s="225">
        <f t="shared" si="19"/>
        <v>0</v>
      </c>
      <c r="Y24" s="83">
        <f t="shared" si="20"/>
        <v>0</v>
      </c>
      <c r="Z24" s="141">
        <f t="shared" si="21"/>
        <v>0.41543947287587418</v>
      </c>
      <c r="AA24" s="137">
        <f t="shared" si="22"/>
        <v>0</v>
      </c>
      <c r="AB24" s="221">
        <f t="shared" si="23"/>
        <v>0</v>
      </c>
      <c r="AC24" s="149"/>
      <c r="AD24" s="149"/>
      <c r="AG24" s="150">
        <v>8.6299999999999994E-4</v>
      </c>
      <c r="AH24" s="150">
        <v>3.2399999999999996E-4</v>
      </c>
    </row>
    <row r="25" spans="1:34">
      <c r="A25" s="156">
        <v>25</v>
      </c>
      <c r="B25" s="150">
        <v>8.7000000000000011E-4</v>
      </c>
      <c r="C25" s="150">
        <v>3.3199999999999999E-4</v>
      </c>
      <c r="D25" s="150">
        <v>6.5480000000000009E-4</v>
      </c>
      <c r="E25" s="160">
        <f t="shared" si="24"/>
        <v>98661.589818497232</v>
      </c>
      <c r="F25" s="218">
        <f t="shared" si="4"/>
        <v>56567.266437575177</v>
      </c>
      <c r="G25" s="56">
        <f t="shared" si="5"/>
        <v>1722350.2661574071</v>
      </c>
      <c r="H25" s="141">
        <f t="shared" si="6"/>
        <v>0.38528200810969682</v>
      </c>
      <c r="I25" s="219">
        <f t="shared" si="7"/>
        <v>0.38399793923330217</v>
      </c>
      <c r="J25" s="137">
        <f t="shared" si="8"/>
        <v>24.414142771542156</v>
      </c>
      <c r="K25" s="220">
        <f t="shared" si="9"/>
        <v>1</v>
      </c>
      <c r="L25" s="221">
        <f t="shared" si="10"/>
        <v>7.92</v>
      </c>
      <c r="M25" s="221">
        <f t="shared" si="11"/>
        <v>7.92</v>
      </c>
      <c r="N25" s="137">
        <f t="shared" si="12"/>
        <v>2754.52</v>
      </c>
      <c r="O25" s="137">
        <f t="shared" si="13"/>
        <v>3796.8874838302363</v>
      </c>
      <c r="P25" s="137">
        <f t="shared" si="14"/>
        <v>0.32219948465001347</v>
      </c>
      <c r="Q25" s="137">
        <f t="shared" si="15"/>
        <v>0.41157090342033203</v>
      </c>
      <c r="R25" s="137">
        <f t="shared" si="16"/>
        <v>-2.1449140504876456</v>
      </c>
      <c r="S25" s="137">
        <f t="shared" si="17"/>
        <v>0</v>
      </c>
      <c r="T25" s="222">
        <f t="shared" si="18"/>
        <v>0</v>
      </c>
      <c r="U25" s="223">
        <f t="shared" si="25"/>
        <v>0</v>
      </c>
      <c r="V25" s="137">
        <f t="shared" si="26"/>
        <v>0</v>
      </c>
      <c r="W25" s="224">
        <f t="shared" si="27"/>
        <v>0</v>
      </c>
      <c r="X25" s="225">
        <f t="shared" si="19"/>
        <v>0</v>
      </c>
      <c r="Y25" s="83">
        <f t="shared" si="20"/>
        <v>0</v>
      </c>
      <c r="Z25" s="141">
        <f t="shared" si="21"/>
        <v>0.42134242347023371</v>
      </c>
      <c r="AA25" s="137">
        <f t="shared" si="22"/>
        <v>0</v>
      </c>
      <c r="AB25" s="221">
        <f t="shared" si="23"/>
        <v>0</v>
      </c>
      <c r="AC25" s="149"/>
      <c r="AD25" s="149"/>
      <c r="AG25" s="150">
        <v>8.6699999999999993E-4</v>
      </c>
      <c r="AH25" s="150">
        <v>3.28E-4</v>
      </c>
    </row>
    <row r="26" spans="1:34">
      <c r="A26" s="156">
        <v>26</v>
      </c>
      <c r="B26" s="150">
        <v>8.7799999999999998E-4</v>
      </c>
      <c r="C26" s="150">
        <v>3.3500000000000001E-4</v>
      </c>
      <c r="D26" s="150">
        <v>6.6080000000000012E-4</v>
      </c>
      <c r="E26" s="160">
        <f t="shared" si="24"/>
        <v>98596.986209484079</v>
      </c>
      <c r="F26" s="218">
        <f t="shared" si="4"/>
        <v>55286.284783874667</v>
      </c>
      <c r="G26" s="56">
        <f t="shared" si="5"/>
        <v>1665782.9997198319</v>
      </c>
      <c r="H26" s="141">
        <f t="shared" si="6"/>
        <v>0.39220012340982646</v>
      </c>
      <c r="I26" s="219">
        <f t="shared" si="7"/>
        <v>0.39090093536869802</v>
      </c>
      <c r="J26" s="137">
        <f t="shared" si="8"/>
        <v>24.148009655900537</v>
      </c>
      <c r="K26" s="220">
        <f t="shared" si="9"/>
        <v>1</v>
      </c>
      <c r="L26" s="221">
        <f t="shared" si="10"/>
        <v>8.16</v>
      </c>
      <c r="M26" s="221">
        <f t="shared" si="11"/>
        <v>8.0400000000000009</v>
      </c>
      <c r="N26" s="137">
        <f t="shared" si="12"/>
        <v>2809.69</v>
      </c>
      <c r="O26" s="137">
        <f t="shared" si="13"/>
        <v>3755.4984616856518</v>
      </c>
      <c r="P26" s="137">
        <f t="shared" si="14"/>
        <v>0.32966483759029297</v>
      </c>
      <c r="Q26" s="137">
        <f t="shared" si="15"/>
        <v>0.40712862489720469</v>
      </c>
      <c r="R26" s="137">
        <f t="shared" si="16"/>
        <v>-1.8591308953658814</v>
      </c>
      <c r="S26" s="137">
        <f t="shared" si="17"/>
        <v>0</v>
      </c>
      <c r="T26" s="222">
        <f t="shared" si="18"/>
        <v>0</v>
      </c>
      <c r="U26" s="223">
        <f t="shared" si="25"/>
        <v>0</v>
      </c>
      <c r="V26" s="137">
        <f t="shared" si="26"/>
        <v>0</v>
      </c>
      <c r="W26" s="224">
        <f t="shared" si="27"/>
        <v>0</v>
      </c>
      <c r="X26" s="225">
        <f t="shared" si="19"/>
        <v>0</v>
      </c>
      <c r="Y26" s="83">
        <f t="shared" si="20"/>
        <v>0</v>
      </c>
      <c r="Z26" s="141">
        <f t="shared" si="21"/>
        <v>0.42738017653790877</v>
      </c>
      <c r="AA26" s="137">
        <f t="shared" si="22"/>
        <v>0</v>
      </c>
      <c r="AB26" s="221">
        <f t="shared" si="23"/>
        <v>0</v>
      </c>
      <c r="AC26" s="149"/>
      <c r="AD26" s="149"/>
      <c r="AG26" s="150">
        <v>8.7000000000000011E-4</v>
      </c>
      <c r="AH26" s="150">
        <v>3.3199999999999999E-4</v>
      </c>
    </row>
    <row r="27" spans="1:34">
      <c r="A27" s="156">
        <v>27</v>
      </c>
      <c r="B27" s="150">
        <v>8.8199999999999997E-4</v>
      </c>
      <c r="C27" s="150">
        <v>3.5000000000000005E-4</v>
      </c>
      <c r="D27" s="150">
        <v>6.6920000000000011E-4</v>
      </c>
      <c r="E27" s="160">
        <f t="shared" si="24"/>
        <v>98531.833320996855</v>
      </c>
      <c r="F27" s="218">
        <f t="shared" si="4"/>
        <v>54033.986901603421</v>
      </c>
      <c r="G27" s="56">
        <f t="shared" si="5"/>
        <v>1610496.7149359572</v>
      </c>
      <c r="H27" s="141">
        <f t="shared" si="6"/>
        <v>0.39927461720592727</v>
      </c>
      <c r="I27" s="219">
        <f t="shared" si="7"/>
        <v>0.39795215582937077</v>
      </c>
      <c r="J27" s="137">
        <f t="shared" si="8"/>
        <v>23.875855455939579</v>
      </c>
      <c r="K27" s="220">
        <f t="shared" si="9"/>
        <v>1</v>
      </c>
      <c r="L27" s="221">
        <f t="shared" si="10"/>
        <v>8.3999999999999986</v>
      </c>
      <c r="M27" s="221">
        <f t="shared" si="11"/>
        <v>8.2799999999999994</v>
      </c>
      <c r="N27" s="137">
        <f t="shared" si="12"/>
        <v>2866.1</v>
      </c>
      <c r="O27" s="137">
        <f t="shared" si="13"/>
        <v>3713.1730405077237</v>
      </c>
      <c r="P27" s="137">
        <f t="shared" si="14"/>
        <v>0.33730518770410933</v>
      </c>
      <c r="Q27" s="137">
        <f t="shared" si="15"/>
        <v>0.40258583600415571</v>
      </c>
      <c r="R27" s="137">
        <f t="shared" si="16"/>
        <v>-1.566735559201113</v>
      </c>
      <c r="S27" s="137">
        <f t="shared" si="17"/>
        <v>0</v>
      </c>
      <c r="T27" s="222">
        <f t="shared" si="18"/>
        <v>0</v>
      </c>
      <c r="U27" s="223">
        <f t="shared" si="25"/>
        <v>0</v>
      </c>
      <c r="V27" s="137">
        <f t="shared" si="26"/>
        <v>0</v>
      </c>
      <c r="W27" s="224">
        <f t="shared" si="27"/>
        <v>0</v>
      </c>
      <c r="X27" s="225">
        <f t="shared" si="19"/>
        <v>0</v>
      </c>
      <c r="Y27" s="83">
        <f t="shared" si="20"/>
        <v>0</v>
      </c>
      <c r="Z27" s="141">
        <f t="shared" si="21"/>
        <v>0.43355442327291027</v>
      </c>
      <c r="AA27" s="137">
        <f t="shared" si="22"/>
        <v>0</v>
      </c>
      <c r="AB27" s="221">
        <f t="shared" si="23"/>
        <v>0</v>
      </c>
      <c r="AC27" s="149"/>
      <c r="AD27" s="149"/>
      <c r="AG27" s="150">
        <v>8.7799999999999998E-4</v>
      </c>
      <c r="AH27" s="150">
        <v>3.3500000000000001E-4</v>
      </c>
    </row>
    <row r="28" spans="1:34">
      <c r="A28" s="156">
        <v>28</v>
      </c>
      <c r="B28" s="150">
        <v>8.8800000000000001E-4</v>
      </c>
      <c r="C28" s="150">
        <v>3.7099999999999996E-4</v>
      </c>
      <c r="D28" s="150">
        <v>6.8120000000000008E-4</v>
      </c>
      <c r="E28" s="160">
        <f t="shared" si="24"/>
        <v>98465.895818138437</v>
      </c>
      <c r="F28" s="218">
        <f t="shared" si="4"/>
        <v>52809.611107646815</v>
      </c>
      <c r="G28" s="56">
        <f t="shared" si="5"/>
        <v>1556462.7280343538</v>
      </c>
      <c r="H28" s="141">
        <f t="shared" si="6"/>
        <v>0.40650765139136791</v>
      </c>
      <c r="I28" s="219">
        <f t="shared" si="7"/>
        <v>0.40514969979997428</v>
      </c>
      <c r="J28" s="137">
        <f t="shared" si="8"/>
        <v>23.59759473870136</v>
      </c>
      <c r="K28" s="220">
        <f t="shared" si="9"/>
        <v>1</v>
      </c>
      <c r="L28" s="221">
        <f t="shared" si="10"/>
        <v>8.64</v>
      </c>
      <c r="M28" s="221">
        <f t="shared" si="11"/>
        <v>8.64</v>
      </c>
      <c r="N28" s="137">
        <f t="shared" si="12"/>
        <v>2923.78</v>
      </c>
      <c r="O28" s="137">
        <f t="shared" si="13"/>
        <v>3669.8979337628357</v>
      </c>
      <c r="P28" s="137">
        <f t="shared" si="14"/>
        <v>0.34512551242036349</v>
      </c>
      <c r="Q28" s="137">
        <f t="shared" si="15"/>
        <v>0.39794110782994158</v>
      </c>
      <c r="R28" s="137">
        <f t="shared" si="16"/>
        <v>-1.2675742898298741</v>
      </c>
      <c r="S28" s="137">
        <f t="shared" si="17"/>
        <v>0</v>
      </c>
      <c r="T28" s="222">
        <f t="shared" si="18"/>
        <v>0</v>
      </c>
      <c r="U28" s="223">
        <f t="shared" si="25"/>
        <v>0</v>
      </c>
      <c r="V28" s="137">
        <f t="shared" si="26"/>
        <v>0</v>
      </c>
      <c r="W28" s="224">
        <f t="shared" si="27"/>
        <v>0</v>
      </c>
      <c r="X28" s="225">
        <f t="shared" si="19"/>
        <v>0</v>
      </c>
      <c r="Y28" s="83">
        <f t="shared" si="20"/>
        <v>0</v>
      </c>
      <c r="Z28" s="141">
        <f t="shared" si="21"/>
        <v>0.43986705683098271</v>
      </c>
      <c r="AA28" s="137">
        <f t="shared" si="22"/>
        <v>0</v>
      </c>
      <c r="AB28" s="221">
        <f t="shared" si="23"/>
        <v>0</v>
      </c>
      <c r="AC28" s="149"/>
      <c r="AD28" s="149"/>
      <c r="AG28" s="150">
        <v>8.8199999999999997E-4</v>
      </c>
      <c r="AH28" s="150">
        <v>3.5000000000000005E-4</v>
      </c>
    </row>
    <row r="29" spans="1:34">
      <c r="A29" s="156">
        <v>29</v>
      </c>
      <c r="B29" s="150">
        <v>9.1299999999999997E-4</v>
      </c>
      <c r="C29" s="150">
        <v>3.9099999999999996E-4</v>
      </c>
      <c r="D29" s="150">
        <v>7.0420000000000009E-4</v>
      </c>
      <c r="E29" s="160">
        <f t="shared" si="24"/>
        <v>98398.820849907119</v>
      </c>
      <c r="F29" s="218">
        <f t="shared" si="4"/>
        <v>51612.359120352361</v>
      </c>
      <c r="G29" s="56">
        <f t="shared" si="5"/>
        <v>1503653.1169267071</v>
      </c>
      <c r="H29" s="141">
        <f t="shared" si="6"/>
        <v>0.41390072885311829</v>
      </c>
      <c r="I29" s="219">
        <f t="shared" si="7"/>
        <v>0.41249061533758674</v>
      </c>
      <c r="J29" s="137">
        <f t="shared" si="8"/>
        <v>23.313166298248511</v>
      </c>
      <c r="K29" s="220">
        <f t="shared" si="9"/>
        <v>1</v>
      </c>
      <c r="L29" s="221">
        <f t="shared" si="10"/>
        <v>8.879999999999999</v>
      </c>
      <c r="M29" s="221">
        <f t="shared" si="11"/>
        <v>8.879999999999999</v>
      </c>
      <c r="N29" s="137">
        <f t="shared" si="12"/>
        <v>2982.73</v>
      </c>
      <c r="O29" s="137">
        <f t="shared" si="13"/>
        <v>3625.6636227036088</v>
      </c>
      <c r="P29" s="137">
        <f t="shared" si="14"/>
        <v>0.35313138955238471</v>
      </c>
      <c r="Q29" s="137">
        <f t="shared" si="15"/>
        <v>0.3931934144363618</v>
      </c>
      <c r="R29" s="137">
        <f t="shared" si="16"/>
        <v>-0.9614885972154501</v>
      </c>
      <c r="S29" s="137">
        <f t="shared" si="17"/>
        <v>0</v>
      </c>
      <c r="T29" s="222">
        <f t="shared" si="18"/>
        <v>0</v>
      </c>
      <c r="U29" s="223">
        <f t="shared" si="25"/>
        <v>0</v>
      </c>
      <c r="V29" s="137">
        <f t="shared" si="26"/>
        <v>0</v>
      </c>
      <c r="W29" s="224">
        <f t="shared" si="27"/>
        <v>0</v>
      </c>
      <c r="X29" s="225">
        <f t="shared" si="19"/>
        <v>0</v>
      </c>
      <c r="Y29" s="83">
        <f t="shared" si="20"/>
        <v>0</v>
      </c>
      <c r="Z29" s="141">
        <f t="shared" si="21"/>
        <v>0.44631939838386309</v>
      </c>
      <c r="AA29" s="137">
        <f t="shared" si="22"/>
        <v>0</v>
      </c>
      <c r="AB29" s="221">
        <f t="shared" si="23"/>
        <v>0</v>
      </c>
      <c r="AC29" s="149"/>
      <c r="AD29" s="149"/>
      <c r="AG29" s="150">
        <v>8.8800000000000001E-4</v>
      </c>
      <c r="AH29" s="150">
        <v>3.7099999999999996E-4</v>
      </c>
    </row>
    <row r="30" spans="1:34">
      <c r="A30" s="156">
        <v>30</v>
      </c>
      <c r="B30" s="150">
        <v>9.4499999999999998E-4</v>
      </c>
      <c r="C30" s="150">
        <v>4.1299999999999996E-4</v>
      </c>
      <c r="D30" s="150">
        <v>7.3220000000000013E-4</v>
      </c>
      <c r="E30" s="160">
        <f t="shared" si="24"/>
        <v>98329.528400264608</v>
      </c>
      <c r="F30" s="218">
        <f t="shared" si="4"/>
        <v>50441.08919027853</v>
      </c>
      <c r="G30" s="56">
        <f t="shared" si="5"/>
        <v>1452040.7578063547</v>
      </c>
      <c r="H30" s="141">
        <f t="shared" si="6"/>
        <v>0.42145080973078863</v>
      </c>
      <c r="I30" s="219">
        <f t="shared" si="7"/>
        <v>0.41997466208428108</v>
      </c>
      <c r="J30" s="137">
        <f t="shared" si="8"/>
        <v>23.022676996654145</v>
      </c>
      <c r="K30" s="220">
        <f t="shared" si="9"/>
        <v>1</v>
      </c>
      <c r="L30" s="221">
        <f t="shared" si="10"/>
        <v>9.120000000000001</v>
      </c>
      <c r="M30" s="221">
        <f t="shared" si="11"/>
        <v>9.120000000000001</v>
      </c>
      <c r="N30" s="137">
        <f t="shared" si="12"/>
        <v>3042.93</v>
      </c>
      <c r="O30" s="137">
        <f t="shared" si="13"/>
        <v>3580.4867265196526</v>
      </c>
      <c r="P30" s="137">
        <f t="shared" si="14"/>
        <v>0.36133129531547464</v>
      </c>
      <c r="Q30" s="137">
        <f t="shared" si="15"/>
        <v>0.3883445268032874</v>
      </c>
      <c r="R30" s="137">
        <f t="shared" si="16"/>
        <v>-0.64831755570750627</v>
      </c>
      <c r="S30" s="137">
        <f t="shared" si="17"/>
        <v>0</v>
      </c>
      <c r="T30" s="222">
        <f t="shared" si="18"/>
        <v>0</v>
      </c>
      <c r="U30" s="223">
        <f t="shared" si="25"/>
        <v>0</v>
      </c>
      <c r="V30" s="137">
        <f t="shared" si="26"/>
        <v>0</v>
      </c>
      <c r="W30" s="224">
        <f t="shared" si="27"/>
        <v>0</v>
      </c>
      <c r="X30" s="225">
        <f t="shared" si="19"/>
        <v>0</v>
      </c>
      <c r="Y30" s="83">
        <f t="shared" si="20"/>
        <v>0</v>
      </c>
      <c r="Z30" s="141">
        <f t="shared" si="21"/>
        <v>0.45290882324082182</v>
      </c>
      <c r="AA30" s="137">
        <f t="shared" si="22"/>
        <v>0</v>
      </c>
      <c r="AB30" s="221">
        <f t="shared" si="23"/>
        <v>0</v>
      </c>
      <c r="AC30" s="149"/>
      <c r="AD30" s="149"/>
      <c r="AG30" s="150">
        <v>9.1299999999999997E-4</v>
      </c>
      <c r="AH30" s="150">
        <v>3.9099999999999996E-4</v>
      </c>
    </row>
    <row r="31" spans="1:34">
      <c r="A31" s="156">
        <v>31</v>
      </c>
      <c r="B31" s="150">
        <v>9.8200000000000002E-4</v>
      </c>
      <c r="C31" s="150">
        <v>4.4799999999999999E-4</v>
      </c>
      <c r="D31" s="150">
        <v>7.6840000000000014E-4</v>
      </c>
      <c r="E31" s="160">
        <f t="shared" si="24"/>
        <v>98257.531519569937</v>
      </c>
      <c r="F31" s="218">
        <f t="shared" si="4"/>
        <v>49295.018312736836</v>
      </c>
      <c r="G31" s="56">
        <f t="shared" si="5"/>
        <v>1401599.6686160762</v>
      </c>
      <c r="H31" s="141">
        <f t="shared" si="6"/>
        <v>0.42915877857789236</v>
      </c>
      <c r="I31" s="219">
        <f t="shared" si="7"/>
        <v>0.42759737501044498</v>
      </c>
      <c r="J31" s="137">
        <f t="shared" si="8"/>
        <v>22.726087848515551</v>
      </c>
      <c r="K31" s="220">
        <f t="shared" si="9"/>
        <v>1</v>
      </c>
      <c r="L31" s="221">
        <f t="shared" si="10"/>
        <v>9.48</v>
      </c>
      <c r="M31" s="221">
        <f t="shared" si="11"/>
        <v>9.36</v>
      </c>
      <c r="N31" s="137">
        <f t="shared" si="12"/>
        <v>3104.4</v>
      </c>
      <c r="O31" s="137">
        <f t="shared" si="13"/>
        <v>3534.3611822011385</v>
      </c>
      <c r="P31" s="137">
        <f t="shared" si="14"/>
        <v>0.36973196720646134</v>
      </c>
      <c r="Q31" s="137">
        <f t="shared" si="15"/>
        <v>0.38339378791420464</v>
      </c>
      <c r="R31" s="137">
        <f t="shared" si="16"/>
        <v>-0.32788369698583919</v>
      </c>
      <c r="S31" s="137">
        <f t="shared" si="17"/>
        <v>0</v>
      </c>
      <c r="T31" s="222">
        <f t="shared" si="18"/>
        <v>0</v>
      </c>
      <c r="U31" s="223">
        <f t="shared" si="25"/>
        <v>0</v>
      </c>
      <c r="V31" s="137">
        <f t="shared" si="26"/>
        <v>0</v>
      </c>
      <c r="W31" s="224">
        <f t="shared" si="27"/>
        <v>0</v>
      </c>
      <c r="X31" s="225">
        <f t="shared" si="19"/>
        <v>0</v>
      </c>
      <c r="Y31" s="83">
        <f t="shared" si="20"/>
        <v>0</v>
      </c>
      <c r="Z31" s="141">
        <f t="shared" si="21"/>
        <v>0.45963611732885018</v>
      </c>
      <c r="AA31" s="137">
        <f t="shared" si="22"/>
        <v>0</v>
      </c>
      <c r="AB31" s="221">
        <f t="shared" si="23"/>
        <v>0</v>
      </c>
      <c r="AC31" s="149"/>
      <c r="AD31" s="149"/>
      <c r="AG31" s="150">
        <v>9.4499999999999998E-4</v>
      </c>
      <c r="AH31" s="150">
        <v>4.1299999999999996E-4</v>
      </c>
    </row>
    <row r="32" spans="1:34">
      <c r="A32" s="156">
        <v>32</v>
      </c>
      <c r="B32" s="150">
        <v>1.039E-3</v>
      </c>
      <c r="C32" s="150">
        <v>4.8199999999999995E-4</v>
      </c>
      <c r="D32" s="150">
        <v>8.1620000000000011E-4</v>
      </c>
      <c r="E32" s="160">
        <f t="shared" si="24"/>
        <v>98182.030432350293</v>
      </c>
      <c r="F32" s="218">
        <f t="shared" si="4"/>
        <v>48173.242074000329</v>
      </c>
      <c r="G32" s="56">
        <f t="shared" si="5"/>
        <v>1352304.6503033394</v>
      </c>
      <c r="H32" s="141">
        <f t="shared" si="6"/>
        <v>0.43702370269489638</v>
      </c>
      <c r="I32" s="219">
        <f t="shared" si="7"/>
        <v>0.43535761321110972</v>
      </c>
      <c r="J32" s="137">
        <f t="shared" si="8"/>
        <v>22.423426799567931</v>
      </c>
      <c r="K32" s="220">
        <f t="shared" si="9"/>
        <v>1</v>
      </c>
      <c r="L32" s="221">
        <f t="shared" si="10"/>
        <v>9.7200000000000006</v>
      </c>
      <c r="M32" s="221">
        <f t="shared" si="11"/>
        <v>9.7200000000000006</v>
      </c>
      <c r="N32" s="137">
        <f t="shared" si="12"/>
        <v>3167.11</v>
      </c>
      <c r="O32" s="137">
        <f t="shared" si="13"/>
        <v>3487.2913358688047</v>
      </c>
      <c r="P32" s="137">
        <f t="shared" si="14"/>
        <v>0.3783416541956906</v>
      </c>
      <c r="Q32" s="137">
        <f t="shared" si="15"/>
        <v>0.3783416541956906</v>
      </c>
      <c r="R32" s="137">
        <f t="shared" si="16"/>
        <v>0</v>
      </c>
      <c r="S32" s="137">
        <f t="shared" si="17"/>
        <v>-320.18133586880458</v>
      </c>
      <c r="T32" s="222">
        <f t="shared" si="18"/>
        <v>0</v>
      </c>
      <c r="U32" s="223">
        <f t="shared" si="25"/>
        <v>0</v>
      </c>
      <c r="V32" s="137">
        <f t="shared" si="26"/>
        <v>0</v>
      </c>
      <c r="W32" s="224">
        <f t="shared" si="27"/>
        <v>8000</v>
      </c>
      <c r="X32" s="225">
        <f t="shared" si="19"/>
        <v>0</v>
      </c>
      <c r="Y32" s="83">
        <f t="shared" si="20"/>
        <v>0</v>
      </c>
      <c r="Z32" s="141">
        <f t="shared" si="21"/>
        <v>0.46650048894445373</v>
      </c>
      <c r="AA32" s="137">
        <f t="shared" si="22"/>
        <v>0</v>
      </c>
      <c r="AB32" s="221">
        <f t="shared" si="23"/>
        <v>0</v>
      </c>
      <c r="AC32" s="149"/>
      <c r="AD32" s="149"/>
      <c r="AG32" s="150">
        <v>9.8200000000000002E-4</v>
      </c>
      <c r="AH32" s="150">
        <v>4.4799999999999999E-4</v>
      </c>
    </row>
    <row r="33" spans="1:53">
      <c r="A33" s="156">
        <v>33</v>
      </c>
      <c r="B33" s="150">
        <v>1.108E-3</v>
      </c>
      <c r="C33" s="150">
        <v>5.2700000000000002E-4</v>
      </c>
      <c r="D33" s="150">
        <v>8.7560000000000014E-4</v>
      </c>
      <c r="E33" s="160">
        <f t="shared" si="24"/>
        <v>98101.894259111403</v>
      </c>
      <c r="F33" s="218">
        <f t="shared" si="4"/>
        <v>47074.74139248854</v>
      </c>
      <c r="G33" s="56">
        <f t="shared" si="5"/>
        <v>1304131.4082293389</v>
      </c>
      <c r="H33" s="141">
        <f t="shared" si="6"/>
        <v>0.44504277574623502</v>
      </c>
      <c r="I33" s="219">
        <f t="shared" si="7"/>
        <v>0.44325574013993291</v>
      </c>
      <c r="J33" s="137">
        <f t="shared" si="8"/>
        <v>22.114790643675576</v>
      </c>
      <c r="K33" s="220">
        <f t="shared" si="9"/>
        <v>1</v>
      </c>
      <c r="L33" s="221">
        <f t="shared" si="10"/>
        <v>10.08</v>
      </c>
      <c r="M33" s="221">
        <f t="shared" si="11"/>
        <v>10.08</v>
      </c>
      <c r="N33" s="137">
        <f t="shared" si="12"/>
        <v>3231.05</v>
      </c>
      <c r="O33" s="137">
        <f t="shared" si="13"/>
        <v>3439.2922409044259</v>
      </c>
      <c r="P33" s="137">
        <f t="shared" si="14"/>
        <v>0.38717034985464499</v>
      </c>
      <c r="Q33" s="137">
        <f t="shared" si="15"/>
        <v>0.37318972719676419</v>
      </c>
      <c r="R33" s="137">
        <f t="shared" si="16"/>
        <v>0.33553494378913928</v>
      </c>
      <c r="S33" s="137">
        <f t="shared" si="17"/>
        <v>-207.90670596063654</v>
      </c>
      <c r="T33" s="222">
        <f t="shared" si="18"/>
        <v>0</v>
      </c>
      <c r="U33" s="223">
        <f t="shared" si="25"/>
        <v>0</v>
      </c>
      <c r="V33" s="137">
        <f t="shared" si="26"/>
        <v>0</v>
      </c>
      <c r="W33" s="224">
        <f t="shared" si="27"/>
        <v>8000</v>
      </c>
      <c r="X33" s="225">
        <f t="shared" si="19"/>
        <v>0</v>
      </c>
      <c r="Y33" s="83">
        <f t="shared" si="20"/>
        <v>0</v>
      </c>
      <c r="Z33" s="141">
        <f t="shared" si="21"/>
        <v>0.47349952025413816</v>
      </c>
      <c r="AA33" s="137">
        <f t="shared" si="22"/>
        <v>0</v>
      </c>
      <c r="AB33" s="221">
        <f t="shared" si="23"/>
        <v>0</v>
      </c>
      <c r="AC33" s="149"/>
      <c r="AD33" s="149"/>
      <c r="AG33" s="150">
        <v>1.039E-3</v>
      </c>
      <c r="AH33" s="150">
        <v>4.8199999999999995E-4</v>
      </c>
    </row>
    <row r="34" spans="1:53">
      <c r="A34" s="156">
        <v>34</v>
      </c>
      <c r="B34" s="150">
        <v>1.1769999999999999E-3</v>
      </c>
      <c r="C34" s="150">
        <v>5.7600000000000001E-4</v>
      </c>
      <c r="D34" s="150">
        <v>9.3660000000000011E-4</v>
      </c>
      <c r="E34" s="160">
        <f t="shared" si="24"/>
        <v>98015.996240498134</v>
      </c>
      <c r="F34" s="218">
        <f t="shared" si="4"/>
        <v>45998.555255672647</v>
      </c>
      <c r="G34" s="56">
        <f t="shared" si="5"/>
        <v>1257056.6668368503</v>
      </c>
      <c r="H34" s="141">
        <f t="shared" si="6"/>
        <v>0.45321342717169255</v>
      </c>
      <c r="I34" s="219">
        <f t="shared" si="7"/>
        <v>0.45129029574247359</v>
      </c>
      <c r="J34" s="137">
        <f t="shared" si="8"/>
        <v>21.800266831768166</v>
      </c>
      <c r="K34" s="220">
        <f t="shared" si="9"/>
        <v>1</v>
      </c>
      <c r="L34" s="221">
        <f t="shared" si="10"/>
        <v>10.44</v>
      </c>
      <c r="M34" s="221">
        <f t="shared" si="11"/>
        <v>10.32</v>
      </c>
      <c r="N34" s="137">
        <f t="shared" si="12"/>
        <v>3296.2</v>
      </c>
      <c r="O34" s="137">
        <f t="shared" si="13"/>
        <v>3390.3774976765853</v>
      </c>
      <c r="P34" s="137">
        <f t="shared" si="14"/>
        <v>0.39622862050648994</v>
      </c>
      <c r="Q34" s="137">
        <f t="shared" si="15"/>
        <v>0.36793945216934326</v>
      </c>
      <c r="R34" s="137">
        <f t="shared" si="16"/>
        <v>0.6789400400915202</v>
      </c>
      <c r="S34" s="137">
        <f t="shared" si="17"/>
        <v>-93.498557636493999</v>
      </c>
      <c r="T34" s="222">
        <f t="shared" si="18"/>
        <v>0</v>
      </c>
      <c r="U34" s="223">
        <f t="shared" si="25"/>
        <v>0</v>
      </c>
      <c r="V34" s="137">
        <f t="shared" si="26"/>
        <v>0</v>
      </c>
      <c r="W34" s="224">
        <f t="shared" si="27"/>
        <v>8000</v>
      </c>
      <c r="X34" s="225">
        <f t="shared" si="19"/>
        <v>0</v>
      </c>
      <c r="Y34" s="83">
        <f t="shared" si="20"/>
        <v>0</v>
      </c>
      <c r="Z34" s="141">
        <f t="shared" si="21"/>
        <v>0.48063099996341924</v>
      </c>
      <c r="AA34" s="137">
        <f t="shared" si="22"/>
        <v>0</v>
      </c>
      <c r="AB34" s="221">
        <f t="shared" si="23"/>
        <v>0</v>
      </c>
      <c r="AC34" s="149"/>
      <c r="AD34" s="149"/>
      <c r="AG34" s="150">
        <v>1.108E-3</v>
      </c>
      <c r="AH34" s="150">
        <v>5.2700000000000002E-4</v>
      </c>
    </row>
    <row r="35" spans="1:53">
      <c r="A35" s="156">
        <v>35</v>
      </c>
      <c r="B35" s="150">
        <v>1.258E-3</v>
      </c>
      <c r="C35" s="150">
        <v>6.3699999999999998E-4</v>
      </c>
      <c r="D35" s="150">
        <v>1.0096000000000003E-3</v>
      </c>
      <c r="E35" s="160">
        <f t="shared" si="24"/>
        <v>97924.194458419282</v>
      </c>
      <c r="F35" s="218">
        <f t="shared" si="4"/>
        <v>44944.227881486739</v>
      </c>
      <c r="G35" s="56">
        <f t="shared" si="5"/>
        <v>1211058.1115811777</v>
      </c>
      <c r="H35" s="141">
        <f t="shared" si="6"/>
        <v>0.46153923979672556</v>
      </c>
      <c r="I35" s="219">
        <f t="shared" si="7"/>
        <v>0.45944946466179093</v>
      </c>
      <c r="J35" s="137">
        <f t="shared" si="8"/>
        <v>21.479714753863419</v>
      </c>
      <c r="K35" s="220">
        <f t="shared" si="9"/>
        <v>1</v>
      </c>
      <c r="L35" s="221">
        <f t="shared" si="10"/>
        <v>10.8</v>
      </c>
      <c r="M35" s="221">
        <f t="shared" si="11"/>
        <v>10.68</v>
      </c>
      <c r="N35" s="137">
        <f t="shared" si="12"/>
        <v>3362.58</v>
      </c>
      <c r="O35" s="137">
        <f t="shared" si="13"/>
        <v>3340.5252385208391</v>
      </c>
      <c r="P35" s="137">
        <f t="shared" si="14"/>
        <v>0.4055235778509011</v>
      </c>
      <c r="Q35" s="137">
        <f t="shared" si="15"/>
        <v>0.36258847853848508</v>
      </c>
      <c r="R35" s="137">
        <f t="shared" si="16"/>
        <v>1.0304423834979843</v>
      </c>
      <c r="S35" s="137">
        <f t="shared" si="17"/>
        <v>23.085203862658773</v>
      </c>
      <c r="T35" s="222">
        <f t="shared" si="18"/>
        <v>82.454037854741884</v>
      </c>
      <c r="U35" s="223">
        <f t="shared" si="25"/>
        <v>0</v>
      </c>
      <c r="V35" s="137">
        <f t="shared" si="26"/>
        <v>0</v>
      </c>
      <c r="W35" s="224">
        <f t="shared" si="27"/>
        <v>8000</v>
      </c>
      <c r="X35" s="225">
        <f t="shared" si="19"/>
        <v>21.93</v>
      </c>
      <c r="Y35" s="83">
        <f t="shared" si="20"/>
        <v>78.33</v>
      </c>
      <c r="Z35" s="141">
        <f t="shared" si="21"/>
        <v>0.48789806278820852</v>
      </c>
      <c r="AA35" s="137">
        <f t="shared" si="22"/>
        <v>44.532257013386811</v>
      </c>
      <c r="AB35" s="221">
        <f t="shared" si="23"/>
        <v>159.33738016406858</v>
      </c>
      <c r="AC35" s="149"/>
      <c r="AD35" s="149"/>
      <c r="AE35" s="233"/>
      <c r="AG35" s="150">
        <v>1.1769999999999999E-3</v>
      </c>
      <c r="AH35" s="150">
        <v>5.7600000000000001E-4</v>
      </c>
    </row>
    <row r="36" spans="1:53">
      <c r="A36" s="156">
        <v>36</v>
      </c>
      <c r="B36" s="150">
        <v>1.3679999999999999E-3</v>
      </c>
      <c r="C36" s="150">
        <v>7.0100000000000002E-4</v>
      </c>
      <c r="D36" s="150">
        <v>1.1012000000000001E-3</v>
      </c>
      <c r="E36" s="160">
        <f t="shared" si="24"/>
        <v>97825.330191694055</v>
      </c>
      <c r="F36" s="218">
        <f t="shared" si="4"/>
        <v>43910.857886569756</v>
      </c>
      <c r="G36" s="56">
        <f t="shared" si="5"/>
        <v>1166113.8836996909</v>
      </c>
      <c r="H36" s="141">
        <f t="shared" si="6"/>
        <v>0.47001789894287704</v>
      </c>
      <c r="I36" s="219">
        <f t="shared" si="7"/>
        <v>0.46772381768404814</v>
      </c>
      <c r="J36" s="137">
        <f t="shared" si="8"/>
        <v>21.153211292498259</v>
      </c>
      <c r="K36" s="220">
        <f t="shared" si="9"/>
        <v>1</v>
      </c>
      <c r="L36" s="221">
        <f t="shared" si="10"/>
        <v>11.16</v>
      </c>
      <c r="M36" s="221">
        <f t="shared" si="11"/>
        <v>11.040000000000001</v>
      </c>
      <c r="N36" s="137">
        <f t="shared" si="12"/>
        <v>3430.18</v>
      </c>
      <c r="O36" s="137">
        <f t="shared" si="13"/>
        <v>3289.7474202093294</v>
      </c>
      <c r="P36" s="137">
        <f t="shared" si="14"/>
        <v>0.41506690990478634</v>
      </c>
      <c r="Q36" s="137">
        <f t="shared" si="15"/>
        <v>0.35713807423167793</v>
      </c>
      <c r="R36" s="137">
        <f t="shared" si="16"/>
        <v>1.3902920561546019</v>
      </c>
      <c r="S36" s="137">
        <f t="shared" si="17"/>
        <v>141.822871846825</v>
      </c>
      <c r="T36" s="222">
        <f t="shared" si="18"/>
        <v>202.22784032815125</v>
      </c>
      <c r="U36" s="223">
        <f t="shared" si="25"/>
        <v>0.59444399946346338</v>
      </c>
      <c r="V36" s="137">
        <f t="shared" si="26"/>
        <v>0</v>
      </c>
      <c r="W36" s="224">
        <f t="shared" si="27"/>
        <v>8000.59</v>
      </c>
      <c r="X36" s="225">
        <f t="shared" si="19"/>
        <v>134.72999999999999</v>
      </c>
      <c r="Y36" s="83">
        <f t="shared" si="20"/>
        <v>192.12</v>
      </c>
      <c r="Z36" s="141">
        <f t="shared" si="21"/>
        <v>0.49529872279147347</v>
      </c>
      <c r="AA36" s="137">
        <f t="shared" si="22"/>
        <v>269.48773272054262</v>
      </c>
      <c r="AB36" s="221">
        <f t="shared" si="23"/>
        <v>384.96115504858523</v>
      </c>
      <c r="AC36" s="149"/>
      <c r="AD36" s="149"/>
      <c r="AE36" s="233"/>
      <c r="AG36" s="150">
        <v>1.258E-3</v>
      </c>
      <c r="AH36" s="150">
        <v>6.3699999999999998E-4</v>
      </c>
    </row>
    <row r="37" spans="1:53">
      <c r="A37" s="156">
        <v>37</v>
      </c>
      <c r="B37" s="150">
        <v>1.4989999999999999E-3</v>
      </c>
      <c r="C37" s="150">
        <v>7.8699999999999994E-4</v>
      </c>
      <c r="D37" s="150">
        <v>1.2142000000000001E-3</v>
      </c>
      <c r="E37" s="160">
        <f t="shared" si="24"/>
        <v>97717.604938086952</v>
      </c>
      <c r="F37" s="218">
        <f t="shared" si="4"/>
        <v>42897.31369179958</v>
      </c>
      <c r="G37" s="56">
        <f t="shared" si="5"/>
        <v>1122203.0258131211</v>
      </c>
      <c r="H37" s="141">
        <f t="shared" si="6"/>
        <v>0.47864359140414747</v>
      </c>
      <c r="I37" s="219">
        <f t="shared" si="7"/>
        <v>0.47610610576737539</v>
      </c>
      <c r="J37" s="137">
        <f t="shared" si="8"/>
        <v>20.820961694040943</v>
      </c>
      <c r="K37" s="220">
        <f t="shared" si="9"/>
        <v>1</v>
      </c>
      <c r="L37" s="221">
        <f t="shared" si="10"/>
        <v>11.52</v>
      </c>
      <c r="M37" s="221">
        <f t="shared" si="11"/>
        <v>11.399999999999999</v>
      </c>
      <c r="N37" s="137">
        <f t="shared" si="12"/>
        <v>3498.95</v>
      </c>
      <c r="O37" s="137">
        <f t="shared" si="13"/>
        <v>3238.0759626572476</v>
      </c>
      <c r="P37" s="137">
        <f t="shared" si="14"/>
        <v>0.42487378639121803</v>
      </c>
      <c r="Q37" s="137">
        <f t="shared" si="15"/>
        <v>0.35159164194433223</v>
      </c>
      <c r="R37" s="137">
        <f t="shared" si="16"/>
        <v>1.7587714667252592</v>
      </c>
      <c r="S37" s="137">
        <f t="shared" si="17"/>
        <v>262.63280880947747</v>
      </c>
      <c r="T37" s="222">
        <f t="shared" si="18"/>
        <v>324.02976544212839</v>
      </c>
      <c r="U37" s="223">
        <f t="shared" si="25"/>
        <v>4.2642162695031107</v>
      </c>
      <c r="V37" s="137">
        <f t="shared" si="26"/>
        <v>0</v>
      </c>
      <c r="W37" s="224">
        <f t="shared" si="27"/>
        <v>8004.26</v>
      </c>
      <c r="X37" s="225">
        <f t="shared" si="19"/>
        <v>249.5</v>
      </c>
      <c r="Y37" s="83">
        <f t="shared" si="20"/>
        <v>307.83</v>
      </c>
      <c r="Z37" s="141">
        <f t="shared" si="21"/>
        <v>0.50282795820184856</v>
      </c>
      <c r="AA37" s="137">
        <f t="shared" si="22"/>
        <v>491.55267215268304</v>
      </c>
      <c r="AB37" s="221">
        <f t="shared" si="23"/>
        <v>607.57459779516421</v>
      </c>
      <c r="AC37" s="149"/>
      <c r="AD37" s="149"/>
      <c r="AG37" s="150">
        <v>1.3679999999999999E-3</v>
      </c>
      <c r="AH37" s="150">
        <v>7.0100000000000002E-4</v>
      </c>
    </row>
    <row r="38" spans="1:53">
      <c r="A38" s="156">
        <v>38</v>
      </c>
      <c r="B38" s="150">
        <v>1.6600000000000002E-3</v>
      </c>
      <c r="C38" s="150">
        <v>8.7199999999999995E-4</v>
      </c>
      <c r="D38" s="150">
        <v>1.3448000000000004E-3</v>
      </c>
      <c r="E38" s="160">
        <f t="shared" si="24"/>
        <v>97598.956222171124</v>
      </c>
      <c r="F38" s="218">
        <f t="shared" si="4"/>
        <v>41902.423250381413</v>
      </c>
      <c r="G38" s="56">
        <f t="shared" si="5"/>
        <v>1079305.7121213216</v>
      </c>
      <c r="H38" s="141">
        <f t="shared" si="6"/>
        <v>0.48740930782595882</v>
      </c>
      <c r="I38" s="219">
        <f t="shared" si="7"/>
        <v>0.4845868767813199</v>
      </c>
      <c r="J38" s="137">
        <f t="shared" si="8"/>
        <v>20.483214227125444</v>
      </c>
      <c r="K38" s="220">
        <f t="shared" si="9"/>
        <v>1</v>
      </c>
      <c r="L38" s="221">
        <f t="shared" si="10"/>
        <v>11.879999999999999</v>
      </c>
      <c r="M38" s="221">
        <f t="shared" si="11"/>
        <v>11.879999999999999</v>
      </c>
      <c r="N38" s="137">
        <f t="shared" si="12"/>
        <v>3568.84</v>
      </c>
      <c r="O38" s="137">
        <f t="shared" si="13"/>
        <v>3185.5494766025495</v>
      </c>
      <c r="P38" s="137">
        <f t="shared" si="14"/>
        <v>0.43496157693173093</v>
      </c>
      <c r="Q38" s="137">
        <f t="shared" si="15"/>
        <v>0.34595329870970559</v>
      </c>
      <c r="R38" s="137">
        <f t="shared" si="16"/>
        <v>2.1361986773286081</v>
      </c>
      <c r="S38" s="137">
        <f t="shared" si="17"/>
        <v>385.42672207477926</v>
      </c>
      <c r="T38" s="222">
        <f t="shared" si="18"/>
        <v>447.77895667683123</v>
      </c>
      <c r="U38" s="223">
        <f t="shared" si="25"/>
        <v>11.154937584432249</v>
      </c>
      <c r="V38" s="137">
        <f t="shared" si="26"/>
        <v>0</v>
      </c>
      <c r="W38" s="224">
        <f t="shared" si="27"/>
        <v>8011.15</v>
      </c>
      <c r="X38" s="225">
        <f t="shared" si="19"/>
        <v>366.16</v>
      </c>
      <c r="Y38" s="83">
        <f t="shared" si="20"/>
        <v>425.39</v>
      </c>
      <c r="Z38" s="141">
        <f t="shared" si="21"/>
        <v>0.51047971172737006</v>
      </c>
      <c r="AA38" s="137">
        <f t="shared" si="22"/>
        <v>710.54026422285392</v>
      </c>
      <c r="AB38" s="221">
        <f t="shared" si="23"/>
        <v>827.01983608420016</v>
      </c>
      <c r="AC38" s="149"/>
      <c r="AD38" s="149"/>
      <c r="AG38" s="150">
        <v>1.4989999999999999E-3</v>
      </c>
      <c r="AH38" s="150">
        <v>7.8699999999999994E-4</v>
      </c>
    </row>
    <row r="39" spans="1:53">
      <c r="A39" s="156">
        <v>39</v>
      </c>
      <c r="B39" s="150">
        <v>1.8449999999999999E-3</v>
      </c>
      <c r="C39" s="150">
        <v>9.7399999999999993E-4</v>
      </c>
      <c r="D39" s="150">
        <v>1.4966000000000001E-3</v>
      </c>
      <c r="E39" s="160">
        <f t="shared" si="24"/>
        <v>97467.705145843545</v>
      </c>
      <c r="F39" s="218">
        <f t="shared" si="4"/>
        <v>40925.254642146014</v>
      </c>
      <c r="G39" s="56">
        <f t="shared" si="5"/>
        <v>1037403.2888709401</v>
      </c>
      <c r="H39" s="141">
        <f t="shared" si="6"/>
        <v>0.49631059389521343</v>
      </c>
      <c r="I39" s="219">
        <f t="shared" si="7"/>
        <v>0.49315067548616026</v>
      </c>
      <c r="J39" s="137">
        <f t="shared" si="8"/>
        <v>20.140121693465133</v>
      </c>
      <c r="K39" s="220">
        <f t="shared" si="9"/>
        <v>1</v>
      </c>
      <c r="L39" s="221">
        <f t="shared" si="10"/>
        <v>12.36</v>
      </c>
      <c r="M39" s="221">
        <f t="shared" si="11"/>
        <v>12.24</v>
      </c>
      <c r="N39" s="137">
        <f t="shared" si="12"/>
        <v>3639.8</v>
      </c>
      <c r="O39" s="137">
        <f t="shared" si="13"/>
        <v>3132.1917257676978</v>
      </c>
      <c r="P39" s="137">
        <f t="shared" si="14"/>
        <v>0.44534711521323367</v>
      </c>
      <c r="Q39" s="137">
        <f t="shared" si="15"/>
        <v>0.34022557160570183</v>
      </c>
      <c r="R39" s="137">
        <f t="shared" si="16"/>
        <v>2.5229170465807642</v>
      </c>
      <c r="S39" s="137">
        <f t="shared" si="17"/>
        <v>510.13119127888314</v>
      </c>
      <c r="T39" s="222">
        <f t="shared" si="18"/>
        <v>573.4026676739237</v>
      </c>
      <c r="U39" s="223">
        <f t="shared" si="25"/>
        <v>21.414323805390783</v>
      </c>
      <c r="V39" s="137">
        <f t="shared" si="26"/>
        <v>0</v>
      </c>
      <c r="W39" s="224">
        <f t="shared" si="27"/>
        <v>8021.41</v>
      </c>
      <c r="X39" s="225">
        <f t="shared" si="19"/>
        <v>484.62</v>
      </c>
      <c r="Y39" s="83">
        <f t="shared" si="20"/>
        <v>544.73</v>
      </c>
      <c r="Z39" s="141">
        <f t="shared" si="21"/>
        <v>0.51825014804032332</v>
      </c>
      <c r="AA39" s="137">
        <f t="shared" si="22"/>
        <v>926.26630148168829</v>
      </c>
      <c r="AB39" s="221">
        <f t="shared" si="23"/>
        <v>1043.1601337207999</v>
      </c>
      <c r="AC39" s="149"/>
      <c r="AD39" s="149"/>
      <c r="AG39" s="150">
        <v>1.6600000000000002E-3</v>
      </c>
      <c r="AH39" s="150">
        <v>8.7199999999999995E-4</v>
      </c>
    </row>
    <row r="40" spans="1:53">
      <c r="A40" s="156">
        <v>40</v>
      </c>
      <c r="B40" s="150">
        <v>2.068E-3</v>
      </c>
      <c r="C40" s="150">
        <v>1.103E-3</v>
      </c>
      <c r="D40" s="150">
        <v>1.6820000000000003E-3</v>
      </c>
      <c r="E40" s="160">
        <f t="shared" si="24"/>
        <v>97321.83497832228</v>
      </c>
      <c r="F40" s="218">
        <f t="shared" si="4"/>
        <v>39964.797952125758</v>
      </c>
      <c r="G40" s="56">
        <f t="shared" si="5"/>
        <v>996478.03422879404</v>
      </c>
      <c r="H40" s="141">
        <f t="shared" si="6"/>
        <v>0.505341444169217</v>
      </c>
      <c r="I40" s="219">
        <f t="shared" si="7"/>
        <v>0.50178736232483312</v>
      </c>
      <c r="J40" s="137">
        <f t="shared" si="8"/>
        <v>19.791892803079183</v>
      </c>
      <c r="K40" s="220">
        <f t="shared" si="9"/>
        <v>1</v>
      </c>
      <c r="L40" s="221">
        <f>IF(K40=0,0,ROUND(H40*500/J40/12,2)*12)</f>
        <v>12.72</v>
      </c>
      <c r="M40" s="221">
        <f t="shared" si="11"/>
        <v>12.72</v>
      </c>
      <c r="N40" s="137">
        <f t="shared" si="12"/>
        <v>3711.79</v>
      </c>
      <c r="O40" s="137">
        <f t="shared" si="13"/>
        <v>3078.0351687348748</v>
      </c>
      <c r="P40" s="137">
        <f t="shared" si="14"/>
        <v>0.45604994966019274</v>
      </c>
      <c r="Q40" s="137">
        <f t="shared" si="15"/>
        <v>0.33441191616689786</v>
      </c>
      <c r="R40" s="137">
        <f t="shared" si="16"/>
        <v>2.9193128038390772</v>
      </c>
      <c r="S40" s="137">
        <f t="shared" si="17"/>
        <v>636.67414406896421</v>
      </c>
      <c r="T40" s="222">
        <f t="shared" si="18"/>
        <v>700.7813059569238</v>
      </c>
      <c r="U40" s="223">
        <f t="shared" si="25"/>
        <v>35.192631694983746</v>
      </c>
      <c r="V40" s="137">
        <f t="shared" si="26"/>
        <v>-35.192631694983746</v>
      </c>
      <c r="W40" s="224">
        <f t="shared" si="27"/>
        <v>8000</v>
      </c>
      <c r="X40" s="225">
        <f t="shared" si="19"/>
        <v>604.84</v>
      </c>
      <c r="Y40" s="83">
        <f t="shared" si="20"/>
        <v>665.74</v>
      </c>
      <c r="Z40" s="141">
        <f t="shared" si="21"/>
        <v>0.52613408864830025</v>
      </c>
      <c r="AA40" s="137">
        <f t="shared" si="22"/>
        <v>1138.6652423929813</v>
      </c>
      <c r="AB40" s="221">
        <f t="shared" si="23"/>
        <v>1255.8110004110836</v>
      </c>
      <c r="AC40" s="149"/>
      <c r="AD40" s="149"/>
      <c r="AG40" s="150">
        <v>1.8449999999999999E-3</v>
      </c>
      <c r="AH40" s="150">
        <v>9.7399999999999993E-4</v>
      </c>
    </row>
    <row r="41" spans="1:53">
      <c r="A41" s="156">
        <v>41</v>
      </c>
      <c r="B41" s="150">
        <v>2.333E-3</v>
      </c>
      <c r="C41" s="150">
        <v>1.2489999999999999E-3</v>
      </c>
      <c r="D41" s="150">
        <v>1.8994000000000003E-3</v>
      </c>
      <c r="E41" s="160">
        <f t="shared" si="24"/>
        <v>97158.139651888749</v>
      </c>
      <c r="F41" s="218">
        <f t="shared" si="4"/>
        <v>39019.635366230112</v>
      </c>
      <c r="G41" s="56">
        <f t="shared" si="5"/>
        <v>956513.23627666826</v>
      </c>
      <c r="H41" s="141">
        <f t="shared" si="6"/>
        <v>0.51448967605635298</v>
      </c>
      <c r="I41" s="219">
        <f t="shared" si="7"/>
        <v>0.51049166907593391</v>
      </c>
      <c r="J41" s="137">
        <f t="shared" si="8"/>
        <v>19.438962092728428</v>
      </c>
      <c r="K41" s="220">
        <f t="shared" si="9"/>
        <v>1</v>
      </c>
      <c r="L41" s="221">
        <f t="shared" ref="L41:L104" si="28">IF(K41=0,0,ROUND(H41*500/J41/12,2)*12)</f>
        <v>13.200000000000001</v>
      </c>
      <c r="M41" s="221">
        <f t="shared" si="11"/>
        <v>13.080000000000002</v>
      </c>
      <c r="N41" s="137">
        <f t="shared" si="12"/>
        <v>3784.71</v>
      </c>
      <c r="O41" s="137">
        <f t="shared" si="13"/>
        <v>3023.1473846611252</v>
      </c>
      <c r="P41" s="137">
        <f t="shared" si="14"/>
        <v>0.46709673022779014</v>
      </c>
      <c r="Q41" s="137">
        <f t="shared" si="15"/>
        <v>0.32851954247743254</v>
      </c>
      <c r="R41" s="137">
        <f t="shared" si="16"/>
        <v>3.3258525060085824</v>
      </c>
      <c r="S41" s="137">
        <f t="shared" si="17"/>
        <v>764.88846784488339</v>
      </c>
      <c r="T41" s="222">
        <f t="shared" si="18"/>
        <v>829.75735154818278</v>
      </c>
      <c r="U41" s="223">
        <f t="shared" si="25"/>
        <v>52.642769855609089</v>
      </c>
      <c r="V41" s="137">
        <f t="shared" si="26"/>
        <v>-36.24841064583326</v>
      </c>
      <c r="W41" s="224">
        <f t="shared" si="27"/>
        <v>8016.39</v>
      </c>
      <c r="X41" s="225">
        <f t="shared" si="19"/>
        <v>726.64</v>
      </c>
      <c r="Y41" s="83">
        <f t="shared" si="20"/>
        <v>788.27</v>
      </c>
      <c r="Z41" s="141">
        <f t="shared" si="21"/>
        <v>0.53412099716011086</v>
      </c>
      <c r="AA41" s="137">
        <f t="shared" si="22"/>
        <v>1347.4419381658331</v>
      </c>
      <c r="AB41" s="221">
        <f t="shared" si="23"/>
        <v>1464.7466202948351</v>
      </c>
      <c r="AC41" s="149"/>
      <c r="AD41" s="149"/>
      <c r="AG41" s="150">
        <v>2.068E-3</v>
      </c>
      <c r="AH41" s="150">
        <v>1.103E-3</v>
      </c>
      <c r="AJ41" s="1" t="s">
        <v>122</v>
      </c>
    </row>
    <row r="42" spans="1:53">
      <c r="A42" s="156">
        <v>42</v>
      </c>
      <c r="B42" s="150">
        <v>2.6200000000000004E-3</v>
      </c>
      <c r="C42" s="150">
        <v>1.3859999999999999E-3</v>
      </c>
      <c r="D42" s="150">
        <v>2.1264000000000005E-3</v>
      </c>
      <c r="E42" s="160">
        <f t="shared" si="24"/>
        <v>96973.597481433957</v>
      </c>
      <c r="F42" s="218">
        <f t="shared" ref="F42:F73" si="29">+E42*V^($A42)</f>
        <v>38088.529555809771</v>
      </c>
      <c r="G42" s="56">
        <f t="shared" ref="G42:G73" si="30">+G43+F42</f>
        <v>917493.60091043811</v>
      </c>
      <c r="H42" s="141">
        <f t="shared" ref="H42:H73" si="31">(V*Nx-G43)/Dx*SQRT(1+$E$1)+$L$3+$L$2*N_END/Dx+(1-$L$1)*$L$4*(Nx-$H$7)/Dx</f>
        <v>0.52374464395727172</v>
      </c>
      <c r="I42" s="219">
        <f t="shared" ref="I42:I73" si="32">((F43*D43/3+F44*D44*2/3)*SQRT($E$2)+(V*G45-G46)*SQRT(1+$E$1))/Dx+$L$3+$L$2*N_END/Dx+(1-$L$1)*$L$4*(Nx-$H$7)/Dx</f>
        <v>0.51925664782754255</v>
      </c>
      <c r="J42" s="137">
        <f t="shared" ref="J42:J73" si="33">IF(x&gt;X_END,0,(1-$L$1)*((Nx-N_END)/Dx-$E$3*(1-(D_END/Dx))))</f>
        <v>19.081705372777876</v>
      </c>
      <c r="K42" s="220">
        <f t="shared" ref="K42:K73" si="34">IF(OR(x&gt;MIN(70,X_END-10),x&lt;18),0,1)</f>
        <v>1</v>
      </c>
      <c r="L42" s="221">
        <f t="shared" si="28"/>
        <v>13.68</v>
      </c>
      <c r="M42" s="221">
        <f t="shared" ref="M42:M73" si="35">K42*ROUND(I42*500/(J42-D42/2*SQRT($E$2))/12,2)*12</f>
        <v>13.559999999999999</v>
      </c>
      <c r="N42" s="137">
        <f t="shared" ref="N42:N73" si="36">ROUND(VS*((V*Nx-G43)/Dx*SQRT(1+$E$1)+IF(x&gt;MIN(X_END,65),0,(1-$L$1)*$L$4*(Nx-$H$7)/Dx)),2)</f>
        <v>3858.47</v>
      </c>
      <c r="O42" s="137">
        <f t="shared" ref="O42:O73" si="37">+J42*JBeitr</f>
        <v>2967.5868195744156</v>
      </c>
      <c r="P42" s="137">
        <f t="shared" ref="P42:P73" si="38">IF(OR(x&gt;X_END,JBeitr=0),Nx/Dx,+N_END/Dx)</f>
        <v>0.47851529861610692</v>
      </c>
      <c r="Q42" s="137">
        <f t="shared" ref="Q42:Q73" si="39">IF(OR(x&gt;X_END,JBeitr=0),0,((N_END/(N_EIN-N_END)*(Nx-N_END)/Dx)))</f>
        <v>0.32255468087035249</v>
      </c>
      <c r="R42" s="137">
        <f t="shared" ref="R42:R73" si="40">+VS*$L$2*(P42-Q42)</f>
        <v>3.7430548258981062</v>
      </c>
      <c r="S42" s="137">
        <f t="shared" ref="S42:S73" si="41">IF(x&lt;X_EIN,0,N42-O42+R42)</f>
        <v>894.62623525148229</v>
      </c>
      <c r="T42" s="222">
        <f t="shared" ref="T42:T73" si="42">IF(S43=0,0,MAX(0,((12-$S$6)*S42+$S$6*S43)/12))</f>
        <v>960.27824989648695</v>
      </c>
      <c r="U42" s="223">
        <f t="shared" si="25"/>
        <v>73.917930998283126</v>
      </c>
      <c r="V42" s="137">
        <f t="shared" si="26"/>
        <v>-37.335862965208257</v>
      </c>
      <c r="W42" s="224">
        <f t="shared" si="27"/>
        <v>8036.58</v>
      </c>
      <c r="X42" s="225">
        <f t="shared" ref="X42:X73" si="43">ROUND(MAX(0,0.95*S42),2)</f>
        <v>849.89</v>
      </c>
      <c r="Y42" s="83">
        <f t="shared" ref="Y42:Y73" si="44">ROUND(MAX(0,0.95*T42),2)</f>
        <v>912.26</v>
      </c>
      <c r="Z42" s="141">
        <f t="shared" ref="Z42:Z73" si="45">((V*Nx-G43)+$L$2*Nx)/Dx</f>
        <v>0.54220167746238612</v>
      </c>
      <c r="AA42" s="137">
        <f t="shared" ref="AA42:AA73" si="46">IF(OR(x&gt;=X_END,AND(x&gt;=X_EIN,JBeitr=0)),VS,X42/((((V*Nx-G43)-IF(Tarif="F",0,(V*N_END-$H$7)))*SQRT(1+$E$1)+IF(Tarif="F",0,D_END))/Dx+$L$2*(Nx-IF(Tarif="F",0,N_END))/Dx))</f>
        <v>1552.4266069367998</v>
      </c>
      <c r="AB42" s="221">
        <f t="shared" ref="AB42:AB73" si="47">IF(OR(AND(AA42=0,AA43=0),AND(Tarif="G",x&gt;X_END)),0,IF(x&gt;=X_END,VS,+Y42*12/((12-$S$6)*Z42+$S$6*Z43)))</f>
        <v>1669.9199534712961</v>
      </c>
      <c r="AC42" s="149"/>
      <c r="AD42" s="149"/>
      <c r="AG42" s="150">
        <v>2.333E-3</v>
      </c>
      <c r="AH42" s="150">
        <v>1.2489999999999999E-3</v>
      </c>
    </row>
    <row r="43" spans="1:53">
      <c r="A43" s="156">
        <v>43</v>
      </c>
      <c r="B43" s="150">
        <v>2.9400000000000003E-3</v>
      </c>
      <c r="C43" s="150">
        <v>1.5700000000000002E-3</v>
      </c>
      <c r="D43" s="150">
        <v>2.3920000000000005E-3</v>
      </c>
      <c r="E43" s="160">
        <f t="shared" ref="E43:E74" si="48">+E42*(1-D42)</f>
        <v>96767.39282374944</v>
      </c>
      <c r="F43" s="218">
        <f t="shared" si="29"/>
        <v>37171.186412285868</v>
      </c>
      <c r="G43" s="56">
        <f t="shared" si="30"/>
        <v>879405.07135462831</v>
      </c>
      <c r="H43" s="141">
        <f t="shared" si="31"/>
        <v>0.53310802942848146</v>
      </c>
      <c r="I43" s="219">
        <f t="shared" si="32"/>
        <v>0.52805989580520585</v>
      </c>
      <c r="J43" s="137">
        <f t="shared" si="33"/>
        <v>18.720043339590678</v>
      </c>
      <c r="K43" s="220">
        <f t="shared" si="34"/>
        <v>1</v>
      </c>
      <c r="L43" s="221">
        <f t="shared" si="28"/>
        <v>14.28</v>
      </c>
      <c r="M43" s="221">
        <f t="shared" si="35"/>
        <v>14.16</v>
      </c>
      <c r="N43" s="137">
        <f t="shared" si="36"/>
        <v>3933.1</v>
      </c>
      <c r="O43" s="137">
        <f t="shared" si="37"/>
        <v>2911.3411401731423</v>
      </c>
      <c r="P43" s="137">
        <f t="shared" si="38"/>
        <v>0.49032451889194112</v>
      </c>
      <c r="Q43" s="137">
        <f t="shared" si="39"/>
        <v>0.31651598911552314</v>
      </c>
      <c r="R43" s="137">
        <f t="shared" si="40"/>
        <v>4.171404714634031</v>
      </c>
      <c r="S43" s="137">
        <f t="shared" si="41"/>
        <v>1025.9302645414916</v>
      </c>
      <c r="T43" s="222">
        <f t="shared" si="42"/>
        <v>1092.2709121351929</v>
      </c>
      <c r="U43" s="223">
        <f t="shared" ref="U43:U74" si="49">(U42+MAX(0,+Über*S42))*(1+Zins)</f>
        <v>99.172094485957288</v>
      </c>
      <c r="V43" s="137">
        <f t="shared" ref="V43:V74" si="50">IF(x&lt;Alter,0,$V$6)*(1+Zins)^(x-Alter)</f>
        <v>-38.455938854164501</v>
      </c>
      <c r="W43" s="224">
        <f t="shared" ref="W43:W74" si="51">IF(x&lt;X_EIN,0,ROUND(VS+V43+U43,2))</f>
        <v>8060.72</v>
      </c>
      <c r="X43" s="225">
        <f t="shared" si="43"/>
        <v>974.63</v>
      </c>
      <c r="Y43" s="83">
        <f t="shared" si="44"/>
        <v>1037.6600000000001</v>
      </c>
      <c r="Z43" s="141">
        <f t="shared" si="45"/>
        <v>0.5503776382151907</v>
      </c>
      <c r="AA43" s="137">
        <f t="shared" si="46"/>
        <v>1753.7488505509909</v>
      </c>
      <c r="AB43" s="221">
        <f t="shared" si="47"/>
        <v>1871.3173388852879</v>
      </c>
      <c r="AC43" s="149"/>
      <c r="AD43" s="149"/>
      <c r="AG43" s="150">
        <v>2.6200000000000004E-3</v>
      </c>
      <c r="AH43" s="150">
        <v>1.3859999999999999E-3</v>
      </c>
      <c r="AQ43" s="1" t="s">
        <v>123</v>
      </c>
      <c r="BA43" s="1" t="s">
        <v>124</v>
      </c>
    </row>
    <row r="44" spans="1:53">
      <c r="A44" s="156">
        <v>44</v>
      </c>
      <c r="B44" s="150">
        <v>3.3079999999999997E-3</v>
      </c>
      <c r="C44" s="150">
        <v>1.7769999999999999E-3</v>
      </c>
      <c r="D44" s="150">
        <v>2.6956000000000003E-3</v>
      </c>
      <c r="E44" s="160">
        <f t="shared" si="48"/>
        <v>96535.925220115038</v>
      </c>
      <c r="F44" s="218">
        <f t="shared" si="29"/>
        <v>36266.281598423171</v>
      </c>
      <c r="G44" s="56">
        <f t="shared" si="30"/>
        <v>842233.88494234241</v>
      </c>
      <c r="H44" s="141">
        <f t="shared" si="31"/>
        <v>0.5425671153198931</v>
      </c>
      <c r="I44" s="219">
        <f t="shared" si="32"/>
        <v>0.53689965612809865</v>
      </c>
      <c r="J44" s="137">
        <f t="shared" si="33"/>
        <v>18.354423826564606</v>
      </c>
      <c r="K44" s="220">
        <f t="shared" si="34"/>
        <v>1</v>
      </c>
      <c r="L44" s="221">
        <f t="shared" si="28"/>
        <v>14.76</v>
      </c>
      <c r="M44" s="221">
        <f t="shared" si="35"/>
        <v>14.64</v>
      </c>
      <c r="N44" s="137">
        <f t="shared" si="36"/>
        <v>4008.48</v>
      </c>
      <c r="O44" s="137">
        <f t="shared" si="37"/>
        <v>2854.4799935073279</v>
      </c>
      <c r="P44" s="137">
        <f t="shared" si="38"/>
        <v>0.50255894155520964</v>
      </c>
      <c r="Q44" s="137">
        <f t="shared" si="39"/>
        <v>0.31041089004594474</v>
      </c>
      <c r="R44" s="137">
        <f t="shared" si="40"/>
        <v>4.6115532362223579</v>
      </c>
      <c r="S44" s="137">
        <f t="shared" si="41"/>
        <v>1158.6115597288945</v>
      </c>
      <c r="T44" s="222">
        <f t="shared" si="42"/>
        <v>1225.5649023875951</v>
      </c>
      <c r="U44" s="223">
        <f t="shared" si="49"/>
        <v>128.56496163247942</v>
      </c>
      <c r="V44" s="137">
        <f t="shared" si="50"/>
        <v>-39.609617019789432</v>
      </c>
      <c r="W44" s="224">
        <f t="shared" si="51"/>
        <v>8088.96</v>
      </c>
      <c r="X44" s="225">
        <f t="shared" si="43"/>
        <v>1100.68</v>
      </c>
      <c r="Y44" s="83">
        <f t="shared" si="44"/>
        <v>1164.29</v>
      </c>
      <c r="Z44" s="141">
        <f t="shared" si="45"/>
        <v>0.55863789692447374</v>
      </c>
      <c r="AA44" s="137">
        <f t="shared" si="46"/>
        <v>1951.1860387632034</v>
      </c>
      <c r="AB44" s="221">
        <f t="shared" si="47"/>
        <v>2068.726485155054</v>
      </c>
      <c r="AC44" s="149"/>
      <c r="AD44" s="149"/>
      <c r="AG44" s="150">
        <v>2.9400000000000003E-3</v>
      </c>
      <c r="AH44" s="150">
        <v>1.5700000000000002E-3</v>
      </c>
      <c r="AR44" s="1" t="s">
        <v>94</v>
      </c>
      <c r="AS44" s="1" t="s">
        <v>125</v>
      </c>
      <c r="AT44" s="1" t="s">
        <v>126</v>
      </c>
      <c r="AU44" s="1" t="s">
        <v>127</v>
      </c>
      <c r="AV44" s="147" t="s">
        <v>128</v>
      </c>
    </row>
    <row r="45" spans="1:53">
      <c r="A45" s="156">
        <v>45</v>
      </c>
      <c r="B45" s="150">
        <v>3.7129999999999997E-3</v>
      </c>
      <c r="C45" s="150">
        <v>1.9909999999999997E-3</v>
      </c>
      <c r="D45" s="150">
        <v>3.0242000000000003E-3</v>
      </c>
      <c r="E45" s="160">
        <f t="shared" si="48"/>
        <v>96275.702980091693</v>
      </c>
      <c r="F45" s="218">
        <f t="shared" si="29"/>
        <v>35372.637857942747</v>
      </c>
      <c r="G45" s="56">
        <f t="shared" si="30"/>
        <v>805967.60334391927</v>
      </c>
      <c r="H45" s="141">
        <f t="shared" si="31"/>
        <v>0.55211033823079625</v>
      </c>
      <c r="I45" s="219">
        <f t="shared" si="32"/>
        <v>0.54577377067243138</v>
      </c>
      <c r="J45" s="137">
        <f t="shared" si="33"/>
        <v>17.985249359206989</v>
      </c>
      <c r="K45" s="220">
        <f t="shared" si="34"/>
        <v>1</v>
      </c>
      <c r="L45" s="221">
        <f t="shared" si="28"/>
        <v>15.36</v>
      </c>
      <c r="M45" s="221">
        <f t="shared" si="35"/>
        <v>15.120000000000001</v>
      </c>
      <c r="N45" s="137">
        <f t="shared" si="36"/>
        <v>4084.52</v>
      </c>
      <c r="O45" s="137">
        <f t="shared" si="37"/>
        <v>2797.0659803438712</v>
      </c>
      <c r="P45" s="137">
        <f t="shared" si="38"/>
        <v>0.5152554403050883</v>
      </c>
      <c r="Q45" s="137">
        <f t="shared" si="39"/>
        <v>0.30424604904812508</v>
      </c>
      <c r="R45" s="137">
        <f t="shared" si="40"/>
        <v>5.0642253901671168</v>
      </c>
      <c r="S45" s="137">
        <f t="shared" si="41"/>
        <v>1292.518245046296</v>
      </c>
      <c r="T45" s="222">
        <f t="shared" si="42"/>
        <v>1360.0542562913092</v>
      </c>
      <c r="U45" s="223">
        <f t="shared" si="49"/>
        <v>162.25615814447286</v>
      </c>
      <c r="V45" s="137">
        <f t="shared" si="50"/>
        <v>-40.797905530383119</v>
      </c>
      <c r="W45" s="224">
        <f t="shared" si="51"/>
        <v>8121.46</v>
      </c>
      <c r="X45" s="225">
        <f t="shared" si="43"/>
        <v>1227.8900000000001</v>
      </c>
      <c r="Y45" s="83">
        <f t="shared" si="44"/>
        <v>1292.05</v>
      </c>
      <c r="Z45" s="141">
        <f t="shared" si="45"/>
        <v>0.56697248062404482</v>
      </c>
      <c r="AA45" s="137">
        <f t="shared" si="46"/>
        <v>2144.5960196495207</v>
      </c>
      <c r="AB45" s="221">
        <f t="shared" si="47"/>
        <v>2262.0909082431249</v>
      </c>
      <c r="AC45">
        <f>N_END/(N_EIN-N_END)</f>
        <v>1.3661820707743267E-2</v>
      </c>
      <c r="AD45">
        <f>F47*D47*2/3*SQRT($E$2)/Dx</f>
        <v>2.3568988058379533E-3</v>
      </c>
      <c r="AE45" s="150">
        <f>(V*G48-G49)*SQRT(1+$E$1)/Dx</f>
        <v>0.49441839363227547</v>
      </c>
      <c r="AF45" s="141">
        <f>+$L$2*N_END/Dx</f>
        <v>1.5457663209152649E-3</v>
      </c>
      <c r="AG45" s="150">
        <v>3.3079999999999997E-3</v>
      </c>
      <c r="AH45" s="150">
        <v>1.7769999999999999E-3</v>
      </c>
      <c r="AI45"/>
      <c r="AJ45" s="150">
        <f t="shared" ref="AJ45:AJ70" si="52">(V*G45-G46)*SQRT(1+$E$1)/Dx</f>
        <v>0.50419554841502812</v>
      </c>
      <c r="AK45" s="141">
        <f t="shared" ref="AK45:AK70" si="53">L$2*N_END/Dx</f>
        <v>1.5457663209152649E-3</v>
      </c>
      <c r="AL45" s="141">
        <f t="shared" ref="AL45:AL70" si="54">+(1-$L$1)*$L$4*(Nx-$H$7)/Dx</f>
        <v>6.3690234948527678E-3</v>
      </c>
      <c r="AM45" s="141">
        <f t="shared" ref="AM45:AM70" si="55">L$2*(N_END/(N_EIN-N_END)*(Nx-N_END)/Dx)</f>
        <v>9.127381471443752E-4</v>
      </c>
      <c r="AN45" s="141">
        <f t="shared" ref="AN45:AN70" si="56">AK45-AM45</f>
        <v>6.3302817377088971E-4</v>
      </c>
      <c r="AO45" s="1">
        <f t="shared" ref="AO45:AO70" si="57">IF(x&gt;X_END,0,(1-$L$1)*((Nx-N_END)/Dx-$E$3*(1-(D_END/Dx))))</f>
        <v>17.985249359206989</v>
      </c>
      <c r="AP45" s="141">
        <f>500*(0.04+SUM(AJ45:AL45))/AO45</f>
        <v>15.348976464097802</v>
      </c>
      <c r="AQ45" s="1">
        <f>(SUM(AJ45:AL45)+0.04)/AO45</f>
        <v>3.0697952928195601E-2</v>
      </c>
      <c r="AR45" s="1">
        <f>(AJ45+AL45)*500+20</f>
        <v>275.28228595494045</v>
      </c>
      <c r="AS45" s="1">
        <f t="shared" ref="AS45:AS70" si="58">AR45-AO45*AP$45</f>
        <v>-0.77288316045769534</v>
      </c>
      <c r="AT45" s="1">
        <f>AR45-AS45</f>
        <v>276.05516911539814</v>
      </c>
      <c r="AU45" s="1">
        <f t="shared" ref="AU45:AU70" si="59">AO45*15.36</f>
        <v>276.25343015741936</v>
      </c>
      <c r="AV45" s="1">
        <f t="shared" ref="AV45:AV70" si="60">AO45*15.16</f>
        <v>272.65638028557794</v>
      </c>
      <c r="AW45" s="1">
        <f t="shared" ref="AW45:AW70" si="61">AU45-AV45</f>
        <v>3.5970498718414206</v>
      </c>
      <c r="AX45" s="1">
        <f>AR45-AO45*15.36</f>
        <v>-0.97114420247891076</v>
      </c>
      <c r="AY45" s="137">
        <f t="shared" ref="AY45:AY70" si="62">AK45*500</f>
        <v>0.7728831604576325</v>
      </c>
      <c r="AZ45" s="137">
        <f t="shared" ref="AZ45:AZ70" si="63">AM45*500</f>
        <v>0.45636907357218759</v>
      </c>
      <c r="BA45" s="1">
        <f t="shared" ref="BA45:BA70" si="64">AY45-AZ45</f>
        <v>0.31651408688544491</v>
      </c>
    </row>
    <row r="46" spans="1:53">
      <c r="A46" s="156">
        <v>46</v>
      </c>
      <c r="B46" s="150">
        <v>4.1459999999999995E-3</v>
      </c>
      <c r="C46" s="150">
        <v>2.2100000000000002E-3</v>
      </c>
      <c r="D46" s="150">
        <v>3.3716000000000002E-3</v>
      </c>
      <c r="E46" s="160">
        <f t="shared" si="48"/>
        <v>95984.5459991393</v>
      </c>
      <c r="F46" s="218">
        <f t="shared" si="29"/>
        <v>34489.64687191468</v>
      </c>
      <c r="G46" s="56">
        <f t="shared" si="30"/>
        <v>770594.96548597654</v>
      </c>
      <c r="H46" s="141">
        <f t="shared" si="31"/>
        <v>0.56173338895786484</v>
      </c>
      <c r="I46" s="219">
        <f t="shared" si="32"/>
        <v>0.55467817663542984</v>
      </c>
      <c r="J46" s="137">
        <f t="shared" si="33"/>
        <v>17.612653602768642</v>
      </c>
      <c r="K46" s="220">
        <f t="shared" si="34"/>
        <v>1</v>
      </c>
      <c r="L46" s="221">
        <f t="shared" si="28"/>
        <v>15.96</v>
      </c>
      <c r="M46" s="221">
        <f t="shared" si="35"/>
        <v>15.72</v>
      </c>
      <c r="N46" s="137">
        <f t="shared" si="36"/>
        <v>4161.18</v>
      </c>
      <c r="O46" s="137">
        <f t="shared" si="37"/>
        <v>2739.1198883025795</v>
      </c>
      <c r="P46" s="137">
        <f t="shared" si="38"/>
        <v>0.52844681657463777</v>
      </c>
      <c r="Q46" s="137">
        <f t="shared" si="39"/>
        <v>0.29802365662039182</v>
      </c>
      <c r="R46" s="137">
        <f t="shared" si="40"/>
        <v>5.5301558389019032</v>
      </c>
      <c r="S46" s="137">
        <f t="shared" si="41"/>
        <v>1427.5902675363227</v>
      </c>
      <c r="T46" s="222">
        <f t="shared" si="42"/>
        <v>1495.7145977269358</v>
      </c>
      <c r="U46" s="223">
        <f t="shared" si="49"/>
        <v>200.40618769874919</v>
      </c>
      <c r="V46" s="137">
        <f t="shared" si="50"/>
        <v>-42.021842696294613</v>
      </c>
      <c r="W46" s="224">
        <f t="shared" si="51"/>
        <v>8158.38</v>
      </c>
      <c r="X46" s="225">
        <f t="shared" si="43"/>
        <v>1356.21</v>
      </c>
      <c r="Y46" s="83">
        <f t="shared" si="44"/>
        <v>1420.93</v>
      </c>
      <c r="Z46" s="141">
        <f t="shared" si="45"/>
        <v>0.57537771873508092</v>
      </c>
      <c r="AA46" s="137">
        <f t="shared" si="46"/>
        <v>2334.0080385759638</v>
      </c>
      <c r="AB46" s="221">
        <f t="shared" si="47"/>
        <v>2451.5047945952711</v>
      </c>
      <c r="AC46" s="149"/>
      <c r="AD46" s="149"/>
      <c r="AE46"/>
      <c r="AF46"/>
      <c r="AG46" s="150">
        <v>3.7129999999999997E-3</v>
      </c>
      <c r="AH46" s="150">
        <v>1.9909999999999997E-3</v>
      </c>
      <c r="AI46"/>
      <c r="AJ46" s="150">
        <f t="shared" si="52"/>
        <v>0.51403646433178785</v>
      </c>
      <c r="AK46" s="141">
        <f t="shared" si="53"/>
        <v>1.5853404497239132E-3</v>
      </c>
      <c r="AL46" s="141">
        <f t="shared" si="54"/>
        <v>6.1115841763530829E-3</v>
      </c>
      <c r="AM46" s="141">
        <f t="shared" si="55"/>
        <v>8.9407096986117548E-4</v>
      </c>
      <c r="AN46" s="141">
        <f t="shared" si="56"/>
        <v>6.9126947986273776E-4</v>
      </c>
      <c r="AO46" s="1">
        <f t="shared" si="57"/>
        <v>17.612653602768642</v>
      </c>
      <c r="AR46" s="1">
        <f t="shared" ref="AR46:AR70" si="65">(AJ46+AL46)*500</f>
        <v>260.07402425407042</v>
      </c>
      <c r="AS46" s="1">
        <f t="shared" si="58"/>
        <v>-10.262181365132847</v>
      </c>
      <c r="AT46" t="e">
        <f>((AP$45*0.82)*#REF!-D45*500.25-20.97*1.0225/(1-D45))</f>
        <v>#REF!</v>
      </c>
      <c r="AU46" s="1">
        <f t="shared" si="59"/>
        <v>270.53035933852635</v>
      </c>
      <c r="AV46" s="1">
        <f t="shared" si="60"/>
        <v>267.00782861797262</v>
      </c>
      <c r="AW46" s="1">
        <f t="shared" si="61"/>
        <v>3.522530720553732</v>
      </c>
      <c r="AX46" s="1">
        <f t="shared" ref="AX46:AX70" si="66">AR46+BA46-AO46*15.36</f>
        <v>-10.11070034452456</v>
      </c>
      <c r="AY46" s="137">
        <f t="shared" si="62"/>
        <v>0.7926702248619566</v>
      </c>
      <c r="AZ46" s="137">
        <f t="shared" si="63"/>
        <v>0.44703548493058776</v>
      </c>
      <c r="BA46" s="1">
        <f t="shared" si="64"/>
        <v>0.34563473993136884</v>
      </c>
    </row>
    <row r="47" spans="1:53">
      <c r="A47" s="156">
        <v>47</v>
      </c>
      <c r="B47" s="150">
        <v>4.62E-3</v>
      </c>
      <c r="C47" s="150">
        <v>2.4740000000000001E-3</v>
      </c>
      <c r="D47" s="150">
        <v>3.7616000000000004E-3</v>
      </c>
      <c r="E47" s="160">
        <f t="shared" si="48"/>
        <v>95660.924503848597</v>
      </c>
      <c r="F47" s="218">
        <f t="shared" si="29"/>
        <v>33616.979538896165</v>
      </c>
      <c r="G47" s="56">
        <f t="shared" si="30"/>
        <v>736105.31861406192</v>
      </c>
      <c r="H47" s="141">
        <f t="shared" si="31"/>
        <v>0.57143563408530618</v>
      </c>
      <c r="I47" s="219">
        <f t="shared" si="32"/>
        <v>0.56360641271752354</v>
      </c>
      <c r="J47" s="137">
        <f t="shared" si="33"/>
        <v>17.236633109514976</v>
      </c>
      <c r="K47" s="220">
        <f t="shared" si="34"/>
        <v>1</v>
      </c>
      <c r="L47" s="221">
        <f t="shared" si="28"/>
        <v>16.559999999999999</v>
      </c>
      <c r="M47" s="221">
        <f t="shared" si="35"/>
        <v>16.32</v>
      </c>
      <c r="N47" s="137">
        <f t="shared" si="36"/>
        <v>4238.47</v>
      </c>
      <c r="O47" s="137">
        <f t="shared" si="37"/>
        <v>2680.6411811917692</v>
      </c>
      <c r="P47" s="137">
        <f t="shared" si="38"/>
        <v>0.54216483289816664</v>
      </c>
      <c r="Q47" s="137">
        <f t="shared" si="39"/>
        <v>0.29174362000990861</v>
      </c>
      <c r="R47" s="137">
        <f t="shared" si="40"/>
        <v>6.0101091093181926</v>
      </c>
      <c r="S47" s="137">
        <f t="shared" si="41"/>
        <v>1563.8389279175492</v>
      </c>
      <c r="T47" s="222">
        <f t="shared" si="42"/>
        <v>1632.4723853310336</v>
      </c>
      <c r="U47" s="223">
        <f t="shared" si="49"/>
        <v>243.17882271877198</v>
      </c>
      <c r="V47" s="137">
        <f t="shared" si="50"/>
        <v>-43.282497977183453</v>
      </c>
      <c r="W47" s="224">
        <f t="shared" si="51"/>
        <v>8199.9</v>
      </c>
      <c r="X47" s="225">
        <f t="shared" si="43"/>
        <v>1485.65</v>
      </c>
      <c r="Y47" s="83">
        <f t="shared" si="44"/>
        <v>1550.85</v>
      </c>
      <c r="Z47" s="141">
        <f t="shared" si="45"/>
        <v>0.5838531366421259</v>
      </c>
      <c r="AA47" s="137">
        <f t="shared" si="46"/>
        <v>2519.5453213826172</v>
      </c>
      <c r="AB47" s="221">
        <f t="shared" si="47"/>
        <v>2636.9569134368439</v>
      </c>
      <c r="AC47" s="149"/>
      <c r="AD47" s="149"/>
      <c r="AE47"/>
      <c r="AF47"/>
      <c r="AG47" s="150">
        <v>4.1459999999999995E-3</v>
      </c>
      <c r="AH47" s="150">
        <v>2.2100000000000002E-3</v>
      </c>
      <c r="AI47"/>
      <c r="AJ47" s="150">
        <f t="shared" si="52"/>
        <v>0.52395954728087279</v>
      </c>
      <c r="AK47" s="141">
        <f t="shared" si="53"/>
        <v>1.6264944986944998E-3</v>
      </c>
      <c r="AL47" s="141">
        <f t="shared" si="54"/>
        <v>5.849592305739058E-3</v>
      </c>
      <c r="AM47" s="141">
        <f t="shared" si="55"/>
        <v>8.7523086002972588E-4</v>
      </c>
      <c r="AN47" s="141">
        <f t="shared" si="56"/>
        <v>7.5126363866477391E-4</v>
      </c>
      <c r="AO47" s="1">
        <f t="shared" si="57"/>
        <v>17.236633109514976</v>
      </c>
      <c r="AR47" s="1">
        <f t="shared" si="65"/>
        <v>264.90456979330588</v>
      </c>
      <c r="AS47" s="1">
        <f t="shared" si="58"/>
        <v>0.33989387507159563</v>
      </c>
      <c r="AT47" t="e">
        <f>((AP$45*0.82)*#REF!-D46*500+AT46*1.0225/(1-D46))</f>
        <v>#REF!</v>
      </c>
      <c r="AU47" s="1">
        <f t="shared" si="59"/>
        <v>264.75468456215003</v>
      </c>
      <c r="AV47" s="1">
        <f t="shared" si="60"/>
        <v>261.30735794024702</v>
      </c>
      <c r="AW47" s="1">
        <f t="shared" si="61"/>
        <v>3.4473266219030165</v>
      </c>
      <c r="AX47" s="1">
        <f t="shared" si="66"/>
        <v>0.52551705048824715</v>
      </c>
      <c r="AY47" s="137">
        <f t="shared" si="62"/>
        <v>0.8132472493472499</v>
      </c>
      <c r="AZ47" s="137">
        <f t="shared" si="63"/>
        <v>0.43761543001486292</v>
      </c>
      <c r="BA47" s="1">
        <f t="shared" si="64"/>
        <v>0.37563181933238698</v>
      </c>
    </row>
    <row r="48" spans="1:53">
      <c r="A48" s="156">
        <v>48</v>
      </c>
      <c r="B48" s="150">
        <v>5.1200000000000004E-3</v>
      </c>
      <c r="C48" s="150">
        <v>2.7309999999999999E-3</v>
      </c>
      <c r="D48" s="150">
        <v>4.1644000000000004E-3</v>
      </c>
      <c r="E48" s="160">
        <f t="shared" si="48"/>
        <v>95301.086370234916</v>
      </c>
      <c r="F48" s="218">
        <f t="shared" si="29"/>
        <v>32753.570570819229</v>
      </c>
      <c r="G48" s="56">
        <f t="shared" si="30"/>
        <v>702488.3390751658</v>
      </c>
      <c r="H48" s="141">
        <f t="shared" si="31"/>
        <v>0.58120582809306842</v>
      </c>
      <c r="I48" s="219">
        <f t="shared" si="32"/>
        <v>0.5725661304479035</v>
      </c>
      <c r="J48" s="137">
        <f t="shared" si="33"/>
        <v>16.857569601082492</v>
      </c>
      <c r="K48" s="220">
        <f t="shared" si="34"/>
        <v>1</v>
      </c>
      <c r="L48" s="221">
        <f t="shared" si="28"/>
        <v>17.28</v>
      </c>
      <c r="M48" s="221">
        <f t="shared" si="35"/>
        <v>17.04</v>
      </c>
      <c r="N48" s="137">
        <f t="shared" si="36"/>
        <v>4316.29</v>
      </c>
      <c r="O48" s="137">
        <f t="shared" si="37"/>
        <v>2621.6892243603493</v>
      </c>
      <c r="P48" s="137">
        <f t="shared" si="38"/>
        <v>0.55645670919568579</v>
      </c>
      <c r="Q48" s="137">
        <f t="shared" si="39"/>
        <v>0.28541224649287161</v>
      </c>
      <c r="R48" s="137">
        <f t="shared" si="40"/>
        <v>6.5050671048675408</v>
      </c>
      <c r="S48" s="137">
        <f t="shared" si="41"/>
        <v>1701.1058427445182</v>
      </c>
      <c r="T48" s="222">
        <f t="shared" si="42"/>
        <v>1770.2765100266449</v>
      </c>
      <c r="U48" s="223">
        <f t="shared" si="49"/>
        <v>290.74303979421205</v>
      </c>
      <c r="V48" s="137">
        <f t="shared" si="50"/>
        <v>-44.580972916498951</v>
      </c>
      <c r="W48" s="224">
        <f t="shared" si="51"/>
        <v>8246.16</v>
      </c>
      <c r="X48" s="225">
        <f t="shared" si="43"/>
        <v>1616.05</v>
      </c>
      <c r="Y48" s="83">
        <f t="shared" si="44"/>
        <v>1681.76</v>
      </c>
      <c r="Z48" s="141">
        <f t="shared" si="45"/>
        <v>0.59238906291563587</v>
      </c>
      <c r="AA48" s="137">
        <f t="shared" si="46"/>
        <v>2701.0853372461011</v>
      </c>
      <c r="AB48" s="221">
        <f t="shared" si="47"/>
        <v>2818.4873035327259</v>
      </c>
      <c r="AC48" s="149"/>
      <c r="AD48" s="149"/>
      <c r="AE48"/>
      <c r="AF48"/>
      <c r="AG48" s="150">
        <v>4.62E-3</v>
      </c>
      <c r="AH48" s="150">
        <v>2.4740000000000001E-3</v>
      </c>
      <c r="AI48"/>
      <c r="AJ48" s="150">
        <f t="shared" si="52"/>
        <v>0.53395347387992687</v>
      </c>
      <c r="AK48" s="141">
        <f t="shared" si="53"/>
        <v>1.6693701275870571E-3</v>
      </c>
      <c r="AL48" s="141">
        <f t="shared" si="54"/>
        <v>5.5829840855544073E-3</v>
      </c>
      <c r="AM48" s="141">
        <f t="shared" si="55"/>
        <v>8.5623673947861486E-4</v>
      </c>
      <c r="AN48" s="141">
        <f t="shared" si="56"/>
        <v>8.1313338810844226E-4</v>
      </c>
      <c r="AO48" s="1">
        <f t="shared" si="57"/>
        <v>16.857569601082492</v>
      </c>
      <c r="AR48" s="1">
        <f t="shared" si="65"/>
        <v>269.7682289827406</v>
      </c>
      <c r="AS48" s="1">
        <f t="shared" si="58"/>
        <v>11.021789933834839</v>
      </c>
      <c r="AT48" t="e">
        <f>((AP$45*0.82)*#REF!-D47*500+AT47*1.0225/(1-D47))</f>
        <v>#REF!</v>
      </c>
      <c r="AU48" s="1">
        <f t="shared" si="59"/>
        <v>258.93226907262709</v>
      </c>
      <c r="AV48" s="1">
        <f t="shared" si="60"/>
        <v>255.56075515241059</v>
      </c>
      <c r="AW48" s="1">
        <f t="shared" si="61"/>
        <v>3.3715139202165005</v>
      </c>
      <c r="AX48" s="1">
        <f t="shared" si="66"/>
        <v>11.242526604167722</v>
      </c>
      <c r="AY48" s="137">
        <f t="shared" si="62"/>
        <v>0.83468506379352858</v>
      </c>
      <c r="AZ48" s="137">
        <f t="shared" si="63"/>
        <v>0.42811836973930745</v>
      </c>
      <c r="BA48" s="1">
        <f t="shared" si="64"/>
        <v>0.40656669405422113</v>
      </c>
    </row>
    <row r="49" spans="1:53">
      <c r="A49" s="156">
        <v>49</v>
      </c>
      <c r="B49" s="150">
        <v>5.6509999999999998E-3</v>
      </c>
      <c r="C49" s="150">
        <v>2.9859999999999999E-3</v>
      </c>
      <c r="D49" s="150">
        <v>4.5850000000000005E-3</v>
      </c>
      <c r="E49" s="160">
        <f t="shared" si="48"/>
        <v>94904.214526154712</v>
      </c>
      <c r="F49" s="218">
        <f t="shared" si="29"/>
        <v>31899.434329128715</v>
      </c>
      <c r="G49" s="56">
        <f t="shared" si="30"/>
        <v>669734.7685043466</v>
      </c>
      <c r="H49" s="141">
        <f t="shared" si="31"/>
        <v>0.5910475276541155</v>
      </c>
      <c r="I49" s="219">
        <f t="shared" si="32"/>
        <v>0.58154942684780719</v>
      </c>
      <c r="J49" s="137">
        <f t="shared" si="33"/>
        <v>16.475300488288276</v>
      </c>
      <c r="K49" s="220">
        <f t="shared" si="34"/>
        <v>1</v>
      </c>
      <c r="L49" s="221">
        <f t="shared" si="28"/>
        <v>17.88</v>
      </c>
      <c r="M49" s="221">
        <f t="shared" si="35"/>
        <v>17.64</v>
      </c>
      <c r="N49" s="137">
        <f t="shared" si="36"/>
        <v>4394.67</v>
      </c>
      <c r="O49" s="137">
        <f t="shared" si="37"/>
        <v>2562.238731938593</v>
      </c>
      <c r="P49" s="137">
        <f t="shared" si="38"/>
        <v>0.57135634150113601</v>
      </c>
      <c r="Q49" s="137">
        <f t="shared" si="39"/>
        <v>0.27902678952760246</v>
      </c>
      <c r="R49" s="137">
        <f t="shared" si="40"/>
        <v>7.0159092473648048</v>
      </c>
      <c r="S49" s="137">
        <f t="shared" si="41"/>
        <v>1839.4471773087719</v>
      </c>
      <c r="T49" s="222">
        <f t="shared" si="42"/>
        <v>1909.168575062308</v>
      </c>
      <c r="U49" s="223">
        <f t="shared" si="49"/>
        <v>343.26880643870976</v>
      </c>
      <c r="V49" s="137">
        <f t="shared" si="50"/>
        <v>-45.91840210399392</v>
      </c>
      <c r="W49" s="224">
        <f t="shared" si="51"/>
        <v>8297.35</v>
      </c>
      <c r="X49" s="225">
        <f t="shared" si="43"/>
        <v>1747.47</v>
      </c>
      <c r="Y49" s="83">
        <f t="shared" si="44"/>
        <v>1813.71</v>
      </c>
      <c r="Z49" s="141">
        <f t="shared" si="45"/>
        <v>0.60098867406551848</v>
      </c>
      <c r="AA49" s="137">
        <f t="shared" si="46"/>
        <v>2878.827496669915</v>
      </c>
      <c r="AB49" s="221">
        <f t="shared" si="47"/>
        <v>2996.2771282043391</v>
      </c>
      <c r="AC49" s="149"/>
      <c r="AD49" s="149"/>
      <c r="AG49" s="150">
        <v>5.1200000000000004E-3</v>
      </c>
      <c r="AH49" s="150">
        <v>2.7309999999999999E-3</v>
      </c>
      <c r="AJ49" s="150">
        <f t="shared" si="52"/>
        <v>0.5440219632106098</v>
      </c>
      <c r="AK49" s="141">
        <f t="shared" si="53"/>
        <v>1.7140690245034079E-3</v>
      </c>
      <c r="AL49" s="141">
        <f t="shared" si="54"/>
        <v>5.311495419002275E-3</v>
      </c>
      <c r="AM49" s="141">
        <f t="shared" si="55"/>
        <v>8.3708036858280742E-4</v>
      </c>
      <c r="AN49" s="141">
        <f t="shared" si="56"/>
        <v>8.7698865592060048E-4</v>
      </c>
      <c r="AO49" s="1">
        <f t="shared" si="57"/>
        <v>16.475300488288276</v>
      </c>
      <c r="AR49" s="1">
        <f t="shared" si="65"/>
        <v>274.66672931480599</v>
      </c>
      <c r="AS49" s="1">
        <f t="shared" si="58"/>
        <v>21.787729881130218</v>
      </c>
      <c r="AT49" t="e">
        <f>((AP$45*0.82)*#REF!-D48*500+AT48*1.0225/(1-D48))</f>
        <v>#REF!</v>
      </c>
      <c r="AU49" s="1">
        <f t="shared" si="59"/>
        <v>253.06061550010793</v>
      </c>
      <c r="AV49" s="1">
        <f t="shared" si="60"/>
        <v>249.76555540245027</v>
      </c>
      <c r="AW49" s="1">
        <f t="shared" si="61"/>
        <v>3.2950600976576538</v>
      </c>
      <c r="AX49" s="1">
        <f t="shared" si="66"/>
        <v>22.044608142658376</v>
      </c>
      <c r="AY49" s="137">
        <f t="shared" si="62"/>
        <v>0.85703451225170391</v>
      </c>
      <c r="AZ49" s="137">
        <f t="shared" si="63"/>
        <v>0.41854018429140372</v>
      </c>
      <c r="BA49" s="1">
        <f t="shared" si="64"/>
        <v>0.43849432796030019</v>
      </c>
    </row>
    <row r="50" spans="1:53">
      <c r="A50" s="156">
        <v>50</v>
      </c>
      <c r="B50" s="150">
        <v>6.2359999999999994E-3</v>
      </c>
      <c r="C50" s="150">
        <v>3.2629999999999998E-3</v>
      </c>
      <c r="D50" s="150">
        <v>5.0468000000000006E-3</v>
      </c>
      <c r="E50" s="160">
        <f t="shared" si="48"/>
        <v>94469.078702552302</v>
      </c>
      <c r="F50" s="218">
        <f t="shared" si="29"/>
        <v>31054.450291178153</v>
      </c>
      <c r="G50" s="56">
        <f t="shared" si="30"/>
        <v>637835.3341752179</v>
      </c>
      <c r="H50" s="141">
        <f t="shared" si="31"/>
        <v>0.60096259118249951</v>
      </c>
      <c r="I50" s="219">
        <f t="shared" si="32"/>
        <v>0.59054782222336266</v>
      </c>
      <c r="J50" s="137">
        <f t="shared" si="33"/>
        <v>16.089722498379832</v>
      </c>
      <c r="K50" s="220">
        <f t="shared" si="34"/>
        <v>1</v>
      </c>
      <c r="L50" s="221">
        <f t="shared" si="28"/>
        <v>18.72</v>
      </c>
      <c r="M50" s="221">
        <f t="shared" si="35"/>
        <v>18.36</v>
      </c>
      <c r="N50" s="137">
        <f t="shared" si="36"/>
        <v>4473.62</v>
      </c>
      <c r="O50" s="137">
        <f t="shared" si="37"/>
        <v>2502.2736429480315</v>
      </c>
      <c r="P50" s="137">
        <f t="shared" si="38"/>
        <v>0.58690280856216903</v>
      </c>
      <c r="Q50" s="137">
        <f t="shared" si="39"/>
        <v>0.27258548506733976</v>
      </c>
      <c r="R50" s="137">
        <f t="shared" si="40"/>
        <v>7.543615763875902</v>
      </c>
      <c r="S50" s="137">
        <f t="shared" si="41"/>
        <v>1978.8899728158444</v>
      </c>
      <c r="T50" s="222">
        <f t="shared" si="42"/>
        <v>2049.1086314995828</v>
      </c>
      <c r="U50" s="223">
        <f t="shared" si="49"/>
        <v>400.93263544757195</v>
      </c>
      <c r="V50" s="137">
        <f t="shared" si="50"/>
        <v>-47.295954167113742</v>
      </c>
      <c r="W50" s="224">
        <f t="shared" si="51"/>
        <v>8353.64</v>
      </c>
      <c r="X50" s="225">
        <f t="shared" si="43"/>
        <v>1879.95</v>
      </c>
      <c r="Y50" s="83">
        <f t="shared" si="44"/>
        <v>1946.65</v>
      </c>
      <c r="Z50" s="141">
        <f t="shared" si="45"/>
        <v>0.60965368136103149</v>
      </c>
      <c r="AA50" s="137">
        <f t="shared" si="46"/>
        <v>3052.9334784103212</v>
      </c>
      <c r="AB50" s="221">
        <f t="shared" si="47"/>
        <v>3170.3594536815035</v>
      </c>
      <c r="AC50" s="149"/>
      <c r="AD50" s="149"/>
      <c r="AG50" s="150">
        <v>5.6509999999999998E-3</v>
      </c>
      <c r="AH50" s="150">
        <v>2.9859999999999999E-3</v>
      </c>
      <c r="AJ50" s="150">
        <f t="shared" si="52"/>
        <v>0.55416701883982367</v>
      </c>
      <c r="AK50" s="141">
        <f t="shared" si="53"/>
        <v>1.760708425686507E-3</v>
      </c>
      <c r="AL50" s="141">
        <f t="shared" si="54"/>
        <v>5.0348639169892212E-3</v>
      </c>
      <c r="AM50" s="141">
        <f t="shared" si="55"/>
        <v>8.177564552020193E-4</v>
      </c>
      <c r="AN50" s="141">
        <f t="shared" si="56"/>
        <v>9.4295197048448773E-4</v>
      </c>
      <c r="AO50" s="1">
        <f t="shared" si="57"/>
        <v>16.089722498379832</v>
      </c>
      <c r="AR50" s="1">
        <f t="shared" si="65"/>
        <v>279.60094137840645</v>
      </c>
      <c r="AS50" s="1">
        <f t="shared" si="58"/>
        <v>32.640169436909531</v>
      </c>
      <c r="AT50" t="e">
        <f>((AP$45*0.82)*#REF!-D49*500+AT49*1.0225/(1-D49))</f>
        <v>#REF!</v>
      </c>
      <c r="AU50" s="1">
        <f t="shared" si="59"/>
        <v>247.1381375751142</v>
      </c>
      <c r="AV50" s="1">
        <f t="shared" si="60"/>
        <v>243.92019307543825</v>
      </c>
      <c r="AW50" s="1">
        <f t="shared" si="61"/>
        <v>3.2179444996759514</v>
      </c>
      <c r="AX50" s="1">
        <f t="shared" si="66"/>
        <v>32.934279788534496</v>
      </c>
      <c r="AY50" s="137">
        <f t="shared" si="62"/>
        <v>0.88035421284325355</v>
      </c>
      <c r="AZ50" s="137">
        <f t="shared" si="63"/>
        <v>0.40887822760100967</v>
      </c>
      <c r="BA50" s="1">
        <f t="shared" si="64"/>
        <v>0.47147598524224388</v>
      </c>
    </row>
    <row r="51" spans="1:53">
      <c r="A51" s="156">
        <v>51</v>
      </c>
      <c r="B51" s="150">
        <v>6.8349999999999999E-3</v>
      </c>
      <c r="C51" s="150">
        <v>3.555E-3</v>
      </c>
      <c r="D51" s="150">
        <v>5.5230000000000001E-3</v>
      </c>
      <c r="E51" s="160">
        <f t="shared" si="48"/>
        <v>93992.312156156258</v>
      </c>
      <c r="F51" s="218">
        <f t="shared" si="29"/>
        <v>30217.823659118472</v>
      </c>
      <c r="G51" s="56">
        <f t="shared" si="30"/>
        <v>606780.88388403971</v>
      </c>
      <c r="H51" s="141">
        <f t="shared" si="31"/>
        <v>0.61094319995028401</v>
      </c>
      <c r="I51" s="219">
        <f t="shared" si="32"/>
        <v>0.59956712233896536</v>
      </c>
      <c r="J51" s="137">
        <f t="shared" si="33"/>
        <v>15.70108117136502</v>
      </c>
      <c r="K51" s="220">
        <f t="shared" si="34"/>
        <v>1</v>
      </c>
      <c r="L51" s="221">
        <f t="shared" si="28"/>
        <v>19.440000000000001</v>
      </c>
      <c r="M51" s="221">
        <f t="shared" si="35"/>
        <v>19.080000000000002</v>
      </c>
      <c r="N51" s="137">
        <f t="shared" si="36"/>
        <v>4553.07</v>
      </c>
      <c r="O51" s="137">
        <f t="shared" si="37"/>
        <v>2441.8321437706882</v>
      </c>
      <c r="P51" s="137">
        <f t="shared" si="38"/>
        <v>0.60315210982267087</v>
      </c>
      <c r="Q51" s="137">
        <f t="shared" si="39"/>
        <v>0.26609236173891132</v>
      </c>
      <c r="R51" s="137">
        <f t="shared" si="40"/>
        <v>8.0894339540102287</v>
      </c>
      <c r="S51" s="137">
        <f t="shared" si="41"/>
        <v>2119.3272901833216</v>
      </c>
      <c r="T51" s="222">
        <f t="shared" si="42"/>
        <v>2190.0859694462411</v>
      </c>
      <c r="U51" s="223">
        <f t="shared" si="49"/>
        <v>463.91703131100712</v>
      </c>
      <c r="V51" s="137">
        <f t="shared" si="50"/>
        <v>-48.714832792127154</v>
      </c>
      <c r="W51" s="224">
        <f t="shared" si="51"/>
        <v>8415.2000000000007</v>
      </c>
      <c r="X51" s="225">
        <f t="shared" si="43"/>
        <v>2013.36</v>
      </c>
      <c r="Y51" s="83">
        <f t="shared" si="44"/>
        <v>2080.58</v>
      </c>
      <c r="Z51" s="141">
        <f t="shared" si="45"/>
        <v>0.6183774163364234</v>
      </c>
      <c r="AA51" s="137">
        <f t="shared" si="46"/>
        <v>3223.3279095592065</v>
      </c>
      <c r="AB51" s="221">
        <f t="shared" si="47"/>
        <v>3340.8437134604783</v>
      </c>
      <c r="AC51" s="149"/>
      <c r="AD51" s="149"/>
      <c r="AG51" s="150">
        <v>6.2359999999999994E-3</v>
      </c>
      <c r="AH51" s="150">
        <v>3.2629999999999998E-3</v>
      </c>
      <c r="AJ51" s="150">
        <f t="shared" si="52"/>
        <v>0.56438083327777522</v>
      </c>
      <c r="AK51" s="141">
        <f t="shared" si="53"/>
        <v>1.8094563294680124E-3</v>
      </c>
      <c r="AL51" s="141">
        <f t="shared" si="54"/>
        <v>4.7529103430407355E-3</v>
      </c>
      <c r="AM51" s="141">
        <f t="shared" si="55"/>
        <v>7.9827708521673397E-4</v>
      </c>
      <c r="AN51" s="141">
        <f t="shared" si="56"/>
        <v>1.0111792442512786E-3</v>
      </c>
      <c r="AO51" s="1">
        <f t="shared" si="57"/>
        <v>15.70108117136502</v>
      </c>
      <c r="AR51" s="1">
        <f t="shared" si="65"/>
        <v>284.56687181040797</v>
      </c>
      <c r="AS51" s="1">
        <f t="shared" si="58"/>
        <v>43.571346450237115</v>
      </c>
      <c r="AT51" t="e">
        <f>((AP$45*0.82)*#REF!-D50*500+AT50*1.0225/(1-D50))</f>
        <v>#REF!</v>
      </c>
      <c r="AU51" s="1">
        <f t="shared" si="59"/>
        <v>241.16860679216671</v>
      </c>
      <c r="AV51" s="1">
        <f t="shared" si="60"/>
        <v>238.02839055789372</v>
      </c>
      <c r="AW51" s="1">
        <f t="shared" si="61"/>
        <v>3.140216234272998</v>
      </c>
      <c r="AX51" s="1">
        <f t="shared" si="66"/>
        <v>43.903854640366887</v>
      </c>
      <c r="AY51" s="137">
        <f t="shared" si="62"/>
        <v>0.90472816473400619</v>
      </c>
      <c r="AZ51" s="137">
        <f t="shared" si="63"/>
        <v>0.39913854260836701</v>
      </c>
      <c r="BA51" s="1">
        <f t="shared" si="64"/>
        <v>0.50558962212563918</v>
      </c>
    </row>
    <row r="52" spans="1:53">
      <c r="A52" s="156">
        <v>52</v>
      </c>
      <c r="B52" s="150">
        <v>7.4849999999999995E-3</v>
      </c>
      <c r="C52" s="150">
        <v>3.8429999999999996E-3</v>
      </c>
      <c r="D52" s="150">
        <v>6.0282000000000001E-3</v>
      </c>
      <c r="E52" s="160">
        <f t="shared" si="48"/>
        <v>93473.192616117813</v>
      </c>
      <c r="F52" s="218">
        <f t="shared" si="29"/>
        <v>29389.663197114096</v>
      </c>
      <c r="G52" s="56">
        <f t="shared" si="30"/>
        <v>576563.06022492121</v>
      </c>
      <c r="H52" s="141">
        <f t="shared" si="31"/>
        <v>0.62099424001162706</v>
      </c>
      <c r="I52" s="219">
        <f t="shared" si="32"/>
        <v>0.60859592209489188</v>
      </c>
      <c r="J52" s="137">
        <f t="shared" si="33"/>
        <v>15.309155461846512</v>
      </c>
      <c r="K52" s="220">
        <f t="shared" si="34"/>
        <v>1</v>
      </c>
      <c r="L52" s="221">
        <f t="shared" si="28"/>
        <v>20.28</v>
      </c>
      <c r="M52" s="221">
        <f t="shared" si="35"/>
        <v>19.919999999999998</v>
      </c>
      <c r="N52" s="137">
        <f t="shared" si="36"/>
        <v>4633.07</v>
      </c>
      <c r="O52" s="137">
        <f t="shared" si="37"/>
        <v>2380.8798574263697</v>
      </c>
      <c r="P52" s="137">
        <f t="shared" si="38"/>
        <v>0.62014811030690598</v>
      </c>
      <c r="Q52" s="137">
        <f t="shared" si="39"/>
        <v>0.25954368799315547</v>
      </c>
      <c r="R52" s="137">
        <f t="shared" si="40"/>
        <v>8.6545061355300117</v>
      </c>
      <c r="S52" s="137">
        <f t="shared" si="41"/>
        <v>2260.8446487091601</v>
      </c>
      <c r="T52" s="222">
        <f t="shared" si="42"/>
        <v>2332.1410145862087</v>
      </c>
      <c r="U52" s="223">
        <f t="shared" si="49"/>
        <v>532.40721997255798</v>
      </c>
      <c r="V52" s="137">
        <f t="shared" si="50"/>
        <v>-50.176277775890959</v>
      </c>
      <c r="W52" s="224">
        <f t="shared" si="51"/>
        <v>8482.23</v>
      </c>
      <c r="X52" s="225">
        <f t="shared" si="43"/>
        <v>2147.8000000000002</v>
      </c>
      <c r="Y52" s="83">
        <f t="shared" si="44"/>
        <v>2215.5300000000002</v>
      </c>
      <c r="Z52" s="141">
        <f t="shared" si="45"/>
        <v>0.62716423628097195</v>
      </c>
      <c r="AA52" s="137">
        <f t="shared" si="46"/>
        <v>3390.2523316509037</v>
      </c>
      <c r="AB52" s="221">
        <f t="shared" si="47"/>
        <v>3507.8667054334742</v>
      </c>
      <c r="AC52" s="149"/>
      <c r="AD52" s="149"/>
      <c r="AG52" s="150">
        <v>6.8349999999999999E-3</v>
      </c>
      <c r="AH52" s="150">
        <v>3.555E-3</v>
      </c>
      <c r="AJ52" s="150">
        <f t="shared" si="52"/>
        <v>0.57466850807148151</v>
      </c>
      <c r="AK52" s="141">
        <f t="shared" si="53"/>
        <v>1.8604443309207176E-3</v>
      </c>
      <c r="AL52" s="141">
        <f t="shared" si="54"/>
        <v>4.4652876092249006E-3</v>
      </c>
      <c r="AM52" s="141">
        <f t="shared" si="55"/>
        <v>7.7863106397946648E-4</v>
      </c>
      <c r="AN52" s="141">
        <f t="shared" si="56"/>
        <v>1.0818132669412513E-3</v>
      </c>
      <c r="AO52" s="1">
        <f t="shared" si="57"/>
        <v>15.309155461846512</v>
      </c>
      <c r="AR52" s="1">
        <f t="shared" si="65"/>
        <v>289.56689784035325</v>
      </c>
      <c r="AS52" s="1">
        <f t="shared" si="58"/>
        <v>54.587030971256809</v>
      </c>
      <c r="AT52" t="e">
        <f>((AP$45*0.82)*#REF!-D51*500+AT51*1.0225/(1-D51))</f>
        <v>#REF!</v>
      </c>
      <c r="AU52" s="1">
        <f t="shared" si="59"/>
        <v>235.14862789396241</v>
      </c>
      <c r="AV52" s="1">
        <f t="shared" si="60"/>
        <v>232.08679680159312</v>
      </c>
      <c r="AW52" s="1">
        <f t="shared" si="61"/>
        <v>3.0618310923692889</v>
      </c>
      <c r="AX52" s="1">
        <f t="shared" si="66"/>
        <v>54.959176579861463</v>
      </c>
      <c r="AY52" s="137">
        <f t="shared" si="62"/>
        <v>0.93022216546035885</v>
      </c>
      <c r="AZ52" s="137">
        <f t="shared" si="63"/>
        <v>0.38931553198973323</v>
      </c>
      <c r="BA52" s="1">
        <f t="shared" si="64"/>
        <v>0.54090663347062562</v>
      </c>
    </row>
    <row r="53" spans="1:53">
      <c r="A53" s="156">
        <v>53</v>
      </c>
      <c r="B53" s="150">
        <v>8.173999999999999E-3</v>
      </c>
      <c r="C53" s="150">
        <v>4.1729999999999996E-3</v>
      </c>
      <c r="D53" s="150">
        <v>6.5735999999999998E-3</v>
      </c>
      <c r="E53" s="160">
        <f t="shared" si="48"/>
        <v>92909.717516389326</v>
      </c>
      <c r="F53" s="218">
        <f t="shared" si="29"/>
        <v>28569.67865958851</v>
      </c>
      <c r="G53" s="56">
        <f t="shared" si="30"/>
        <v>547173.39702780708</v>
      </c>
      <c r="H53" s="141">
        <f t="shared" si="31"/>
        <v>0.63111510548063365</v>
      </c>
      <c r="I53" s="219">
        <f t="shared" si="32"/>
        <v>0.61763837581905412</v>
      </c>
      <c r="J53" s="137">
        <f t="shared" si="33"/>
        <v>14.913919848804619</v>
      </c>
      <c r="K53" s="220">
        <f t="shared" si="34"/>
        <v>1</v>
      </c>
      <c r="L53" s="221">
        <f t="shared" si="28"/>
        <v>21.12</v>
      </c>
      <c r="M53" s="221">
        <f t="shared" si="35"/>
        <v>20.759999999999998</v>
      </c>
      <c r="N53" s="137">
        <f t="shared" si="36"/>
        <v>4713.6099999999997</v>
      </c>
      <c r="O53" s="137">
        <f t="shared" si="37"/>
        <v>2319.4128148860946</v>
      </c>
      <c r="P53" s="137">
        <f t="shared" si="38"/>
        <v>0.63794711559101713</v>
      </c>
      <c r="Q53" s="137">
        <f t="shared" si="39"/>
        <v>0.25293897603466614</v>
      </c>
      <c r="R53" s="137">
        <f t="shared" si="40"/>
        <v>9.2401953493524243</v>
      </c>
      <c r="S53" s="137">
        <f t="shared" si="41"/>
        <v>2403.4373804632573</v>
      </c>
      <c r="T53" s="222">
        <f t="shared" si="42"/>
        <v>2475.2443607064661</v>
      </c>
      <c r="U53" s="223">
        <f t="shared" si="49"/>
        <v>606.59618627599559</v>
      </c>
      <c r="V53" s="137">
        <f t="shared" si="50"/>
        <v>-51.681566109167683</v>
      </c>
      <c r="W53" s="224">
        <f t="shared" si="51"/>
        <v>8554.91</v>
      </c>
      <c r="X53" s="225">
        <f t="shared" si="43"/>
        <v>2283.27</v>
      </c>
      <c r="Y53" s="83">
        <f t="shared" si="44"/>
        <v>2351.48</v>
      </c>
      <c r="Z53" s="141">
        <f t="shared" si="45"/>
        <v>0.63601374968313418</v>
      </c>
      <c r="AA53" s="137">
        <f t="shared" si="46"/>
        <v>3553.803345583296</v>
      </c>
      <c r="AB53" s="221">
        <f t="shared" si="47"/>
        <v>3671.5022241933839</v>
      </c>
      <c r="AC53" s="149"/>
      <c r="AD53" s="149"/>
      <c r="AG53" s="150">
        <v>7.4849999999999995E-3</v>
      </c>
      <c r="AH53" s="150">
        <v>3.8429999999999996E-3</v>
      </c>
      <c r="AJ53" s="150">
        <f t="shared" si="52"/>
        <v>0.58502958483628642</v>
      </c>
      <c r="AK53" s="141">
        <f t="shared" si="53"/>
        <v>1.9138413467730514E-3</v>
      </c>
      <c r="AL53" s="141">
        <f t="shared" si="54"/>
        <v>4.1716792975740966E-3</v>
      </c>
      <c r="AM53" s="141">
        <f t="shared" si="55"/>
        <v>7.5881692810399843E-4</v>
      </c>
      <c r="AN53" s="141">
        <f t="shared" si="56"/>
        <v>1.1550244186690529E-3</v>
      </c>
      <c r="AO53" s="1">
        <f t="shared" si="57"/>
        <v>14.913919848804619</v>
      </c>
      <c r="AR53" s="1">
        <f t="shared" si="65"/>
        <v>294.60063206693025</v>
      </c>
      <c r="AS53" s="1">
        <f t="shared" si="58"/>
        <v>65.687227320187077</v>
      </c>
      <c r="AT53" t="e">
        <f>((AP$45*0.82)*#REF!-D52*500+AT52*1.0225/(1-D52))</f>
        <v>#REF!</v>
      </c>
      <c r="AU53" s="1">
        <f t="shared" si="59"/>
        <v>229.07780887763894</v>
      </c>
      <c r="AV53" s="1">
        <f t="shared" si="60"/>
        <v>226.09502490787804</v>
      </c>
      <c r="AW53" s="1">
        <f t="shared" si="61"/>
        <v>2.9827839697609022</v>
      </c>
      <c r="AX53" s="1">
        <f t="shared" si="66"/>
        <v>66.100335398625845</v>
      </c>
      <c r="AY53" s="137">
        <f t="shared" si="62"/>
        <v>0.95692067338652564</v>
      </c>
      <c r="AZ53" s="137">
        <f t="shared" si="63"/>
        <v>0.37940846405199924</v>
      </c>
      <c r="BA53" s="1">
        <f t="shared" si="64"/>
        <v>0.57751220933452641</v>
      </c>
    </row>
    <row r="54" spans="1:53">
      <c r="A54" s="156">
        <v>54</v>
      </c>
      <c r="B54" s="150">
        <v>8.8880000000000001E-3</v>
      </c>
      <c r="C54" s="150">
        <v>4.5249999999999995E-3</v>
      </c>
      <c r="D54" s="150">
        <v>7.1428000000000012E-3</v>
      </c>
      <c r="E54" s="160">
        <f t="shared" si="48"/>
        <v>92298.966197323592</v>
      </c>
      <c r="F54" s="218">
        <f t="shared" si="29"/>
        <v>27757.333026847766</v>
      </c>
      <c r="G54" s="56">
        <f t="shared" si="30"/>
        <v>518603.71836821857</v>
      </c>
      <c r="H54" s="141">
        <f t="shared" si="31"/>
        <v>0.64130154455782806</v>
      </c>
      <c r="I54" s="219">
        <f t="shared" si="32"/>
        <v>0.62668869129756322</v>
      </c>
      <c r="J54" s="137">
        <f t="shared" si="33"/>
        <v>14.515475548701671</v>
      </c>
      <c r="K54" s="220">
        <f t="shared" si="34"/>
        <v>1</v>
      </c>
      <c r="L54" s="221">
        <f t="shared" si="28"/>
        <v>22.080000000000002</v>
      </c>
      <c r="M54" s="221">
        <f t="shared" si="35"/>
        <v>21.6</v>
      </c>
      <c r="N54" s="137">
        <f t="shared" si="36"/>
        <v>4794.6499999999996</v>
      </c>
      <c r="O54" s="137">
        <f t="shared" si="37"/>
        <v>2257.4467573340839</v>
      </c>
      <c r="P54" s="137">
        <f t="shared" si="38"/>
        <v>0.65661726494465511</v>
      </c>
      <c r="Q54" s="137">
        <f t="shared" si="39"/>
        <v>0.24627983645469725</v>
      </c>
      <c r="R54" s="137">
        <f t="shared" si="40"/>
        <v>9.8480982837589881</v>
      </c>
      <c r="S54" s="137">
        <f t="shared" si="41"/>
        <v>2547.0513409496748</v>
      </c>
      <c r="T54" s="222">
        <f t="shared" si="42"/>
        <v>2619.4043224501652</v>
      </c>
      <c r="U54" s="223">
        <f t="shared" si="49"/>
        <v>686.68258441120429</v>
      </c>
      <c r="V54" s="137">
        <f t="shared" si="50"/>
        <v>-53.23201309244272</v>
      </c>
      <c r="W54" s="224">
        <f t="shared" si="51"/>
        <v>8633.4500000000007</v>
      </c>
      <c r="X54" s="225">
        <f t="shared" si="43"/>
        <v>2419.6999999999998</v>
      </c>
      <c r="Y54" s="83">
        <f t="shared" si="44"/>
        <v>2488.4299999999998</v>
      </c>
      <c r="Z54" s="141">
        <f t="shared" si="45"/>
        <v>0.64492242107820152</v>
      </c>
      <c r="AA54" s="137">
        <f t="shared" si="46"/>
        <v>3713.9853422302813</v>
      </c>
      <c r="AB54" s="221">
        <f t="shared" si="47"/>
        <v>3831.843986437435</v>
      </c>
      <c r="AC54" s="149"/>
      <c r="AD54" s="149"/>
      <c r="AG54" s="150">
        <v>8.173999999999999E-3</v>
      </c>
      <c r="AH54" s="150">
        <v>4.1729999999999996E-3</v>
      </c>
      <c r="AJ54" s="150">
        <f t="shared" si="52"/>
        <v>0.59545992422355376</v>
      </c>
      <c r="AK54" s="141">
        <f t="shared" si="53"/>
        <v>1.9698517948339655E-3</v>
      </c>
      <c r="AL54" s="141">
        <f t="shared" si="54"/>
        <v>3.8717685394403793E-3</v>
      </c>
      <c r="AM54" s="141">
        <f t="shared" si="55"/>
        <v>7.3883950936409174E-4</v>
      </c>
      <c r="AN54" s="141">
        <f t="shared" si="56"/>
        <v>1.2310122854698737E-3</v>
      </c>
      <c r="AO54" s="1">
        <f t="shared" si="57"/>
        <v>14.515475548701671</v>
      </c>
      <c r="AR54" s="1">
        <f t="shared" si="65"/>
        <v>299.66584638149709</v>
      </c>
      <c r="AS54" s="1">
        <f t="shared" si="58"/>
        <v>76.868153819288011</v>
      </c>
      <c r="AT54" t="e">
        <f>((AP$45*0.82)*#REF!-D53*500+AT53*1.0225/(1-D53))</f>
        <v>#REF!</v>
      </c>
      <c r="AU54" s="1">
        <f t="shared" si="59"/>
        <v>222.95770442805767</v>
      </c>
      <c r="AV54" s="1">
        <f t="shared" si="60"/>
        <v>220.05460931831735</v>
      </c>
      <c r="AW54" s="1">
        <f t="shared" si="61"/>
        <v>2.9030951097403204</v>
      </c>
      <c r="AX54" s="1">
        <f t="shared" si="66"/>
        <v>77.323648096174367</v>
      </c>
      <c r="AY54" s="137">
        <f t="shared" si="62"/>
        <v>0.98492589741698278</v>
      </c>
      <c r="AZ54" s="137">
        <f t="shared" si="63"/>
        <v>0.36941975468204585</v>
      </c>
      <c r="BA54" s="1">
        <f t="shared" si="64"/>
        <v>0.61550614273493687</v>
      </c>
    </row>
    <row r="55" spans="1:53">
      <c r="A55" s="156">
        <v>55</v>
      </c>
      <c r="B55" s="150">
        <v>9.5919999999999998E-3</v>
      </c>
      <c r="C55" s="150">
        <v>4.9100000000000003E-3</v>
      </c>
      <c r="D55" s="150">
        <v>7.7192000000000007E-3</v>
      </c>
      <c r="E55" s="160">
        <f t="shared" si="48"/>
        <v>91639.693141569354</v>
      </c>
      <c r="F55" s="218">
        <f t="shared" si="29"/>
        <v>26952.633690468072</v>
      </c>
      <c r="G55" s="56">
        <f t="shared" si="30"/>
        <v>490846.38534137083</v>
      </c>
      <c r="H55" s="141">
        <f t="shared" si="31"/>
        <v>0.65155712503372587</v>
      </c>
      <c r="I55" s="219">
        <f t="shared" si="32"/>
        <v>0.6357287041282248</v>
      </c>
      <c r="J55" s="137">
        <f t="shared" si="33"/>
        <v>14.11363485542881</v>
      </c>
      <c r="K55" s="220">
        <f t="shared" si="34"/>
        <v>1</v>
      </c>
      <c r="L55" s="221">
        <f t="shared" si="28"/>
        <v>23.04</v>
      </c>
      <c r="M55" s="221">
        <f t="shared" si="35"/>
        <v>22.56</v>
      </c>
      <c r="N55" s="137">
        <f t="shared" si="36"/>
        <v>4876.2299999999996</v>
      </c>
      <c r="O55" s="137">
        <f t="shared" si="37"/>
        <v>2194.9524927162888</v>
      </c>
      <c r="P55" s="137">
        <f t="shared" si="38"/>
        <v>0.67622126666947646</v>
      </c>
      <c r="Q55" s="137">
        <f t="shared" si="39"/>
        <v>0.23956307221346679</v>
      </c>
      <c r="R55" s="137">
        <f t="shared" si="40"/>
        <v>10.479796666944232</v>
      </c>
      <c r="S55" s="137">
        <f t="shared" si="41"/>
        <v>2691.7573039506551</v>
      </c>
      <c r="T55" s="222">
        <f t="shared" si="42"/>
        <v>2764.7280315689763</v>
      </c>
      <c r="U55" s="223">
        <f t="shared" si="49"/>
        <v>772.86963397299451</v>
      </c>
      <c r="V55" s="137">
        <f t="shared" si="50"/>
        <v>-54.828973485216011</v>
      </c>
      <c r="W55" s="224">
        <f t="shared" si="51"/>
        <v>8718.0400000000009</v>
      </c>
      <c r="X55" s="225">
        <f t="shared" si="43"/>
        <v>2557.17</v>
      </c>
      <c r="Y55" s="83">
        <f t="shared" si="44"/>
        <v>2626.49</v>
      </c>
      <c r="Z55" s="141">
        <f t="shared" si="45"/>
        <v>0.65389350608774643</v>
      </c>
      <c r="AA55" s="137">
        <f t="shared" si="46"/>
        <v>3870.9945760903006</v>
      </c>
      <c r="AB55" s="221">
        <f t="shared" si="47"/>
        <v>3989.1094317943644</v>
      </c>
      <c r="AC55" s="149"/>
      <c r="AD55" s="149"/>
      <c r="AG55" s="150">
        <v>8.8880000000000001E-3</v>
      </c>
      <c r="AH55" s="150">
        <v>4.5249999999999995E-3</v>
      </c>
      <c r="AJ55" s="150">
        <f t="shared" si="52"/>
        <v>0.60596333793947343</v>
      </c>
      <c r="AK55" s="141">
        <f t="shared" si="53"/>
        <v>2.0286638000084293E-3</v>
      </c>
      <c r="AL55" s="141">
        <f t="shared" si="54"/>
        <v>3.5651232942439126E-3</v>
      </c>
      <c r="AM55" s="141">
        <f t="shared" si="55"/>
        <v>7.1868921664040039E-4</v>
      </c>
      <c r="AN55" s="141">
        <f t="shared" si="56"/>
        <v>1.309974583368029E-3</v>
      </c>
      <c r="AO55" s="1">
        <f t="shared" si="57"/>
        <v>14.11363485542881</v>
      </c>
      <c r="AR55" s="1">
        <f t="shared" si="65"/>
        <v>304.7642306168587</v>
      </c>
      <c r="AS55" s="1">
        <f t="shared" si="58"/>
        <v>88.134381398011499</v>
      </c>
      <c r="AT55" t="e">
        <f>((AP$45*0.82)*#REF!-D54*500+AT54*1.0225/(1-D54))</f>
        <v>#REF!</v>
      </c>
      <c r="AU55" s="1">
        <f t="shared" si="59"/>
        <v>216.78543137938652</v>
      </c>
      <c r="AV55" s="1">
        <f t="shared" si="60"/>
        <v>213.96270440830077</v>
      </c>
      <c r="AW55" s="1">
        <f t="shared" si="61"/>
        <v>2.822726971085757</v>
      </c>
      <c r="AX55" s="1">
        <f t="shared" si="66"/>
        <v>88.633786529156168</v>
      </c>
      <c r="AY55" s="137">
        <f t="shared" si="62"/>
        <v>1.0143319000042146</v>
      </c>
      <c r="AZ55" s="137">
        <f t="shared" si="63"/>
        <v>0.35934460832020021</v>
      </c>
      <c r="BA55" s="1">
        <f t="shared" si="64"/>
        <v>0.65498729168401437</v>
      </c>
    </row>
    <row r="56" spans="1:53">
      <c r="A56" s="156">
        <v>56</v>
      </c>
      <c r="B56" s="150">
        <v>1.0432E-2</v>
      </c>
      <c r="C56" s="150">
        <v>5.3369999999999997E-3</v>
      </c>
      <c r="D56" s="150">
        <v>8.3940000000000022E-3</v>
      </c>
      <c r="E56" s="160">
        <f t="shared" si="48"/>
        <v>90932.308022270954</v>
      </c>
      <c r="F56" s="218">
        <f t="shared" si="29"/>
        <v>26156.069359887148</v>
      </c>
      <c r="G56" s="56">
        <f t="shared" si="30"/>
        <v>463893.75165090273</v>
      </c>
      <c r="H56" s="141">
        <f t="shared" si="31"/>
        <v>0.66189289302814847</v>
      </c>
      <c r="I56" s="219">
        <f t="shared" si="32"/>
        <v>0.64471063418753738</v>
      </c>
      <c r="J56" s="137">
        <f t="shared" si="33"/>
        <v>13.707935065134748</v>
      </c>
      <c r="K56" s="220">
        <f t="shared" si="34"/>
        <v>1</v>
      </c>
      <c r="L56" s="221">
        <f t="shared" si="28"/>
        <v>24.119999999999997</v>
      </c>
      <c r="M56" s="221">
        <f t="shared" si="35"/>
        <v>23.52</v>
      </c>
      <c r="N56" s="137">
        <f t="shared" si="36"/>
        <v>4958.42</v>
      </c>
      <c r="O56" s="137">
        <f t="shared" si="37"/>
        <v>2131.8580613297563</v>
      </c>
      <c r="P56" s="137">
        <f t="shared" si="38"/>
        <v>0.69681510029171156</v>
      </c>
      <c r="Q56" s="137">
        <f t="shared" si="39"/>
        <v>0.23278091208113905</v>
      </c>
      <c r="R56" s="137">
        <f t="shared" si="40"/>
        <v>11.13682051705374</v>
      </c>
      <c r="S56" s="137">
        <f t="shared" si="41"/>
        <v>2837.6987591872976</v>
      </c>
      <c r="T56" s="222">
        <f t="shared" si="42"/>
        <v>2911.1395795629282</v>
      </c>
      <c r="U56" s="223">
        <f t="shared" si="49"/>
        <v>865.36847356891371</v>
      </c>
      <c r="V56" s="137">
        <f t="shared" si="50"/>
        <v>-56.473842689772475</v>
      </c>
      <c r="W56" s="224">
        <f t="shared" si="51"/>
        <v>8808.89</v>
      </c>
      <c r="X56" s="225">
        <f t="shared" si="43"/>
        <v>2695.81</v>
      </c>
      <c r="Y56" s="83">
        <f t="shared" si="44"/>
        <v>2765.58</v>
      </c>
      <c r="Z56" s="141">
        <f t="shared" si="45"/>
        <v>0.6629367513457094</v>
      </c>
      <c r="AA56" s="137">
        <f t="shared" si="46"/>
        <v>4025.0504986575302</v>
      </c>
      <c r="AB56" s="221">
        <f t="shared" si="47"/>
        <v>4143.2868521545124</v>
      </c>
      <c r="AC56" s="149"/>
      <c r="AD56" s="149"/>
      <c r="AG56" s="150">
        <v>9.5919999999999998E-3</v>
      </c>
      <c r="AH56" s="150">
        <v>4.9100000000000003E-3</v>
      </c>
      <c r="AJ56" s="150">
        <f t="shared" si="52"/>
        <v>0.61655123741627627</v>
      </c>
      <c r="AK56" s="141">
        <f t="shared" si="53"/>
        <v>2.0904453008751345E-3</v>
      </c>
      <c r="AL56" s="141">
        <f t="shared" si="54"/>
        <v>3.2512103109970489E-3</v>
      </c>
      <c r="AM56" s="141">
        <f t="shared" si="55"/>
        <v>6.9834273624341716E-4</v>
      </c>
      <c r="AN56" s="141">
        <f t="shared" si="56"/>
        <v>1.3921025646317173E-3</v>
      </c>
      <c r="AO56" s="1">
        <f t="shared" si="57"/>
        <v>13.707935065134748</v>
      </c>
      <c r="AR56" s="1">
        <f t="shared" si="65"/>
        <v>309.90122386363669</v>
      </c>
      <c r="AS56" s="1">
        <f t="shared" si="58"/>
        <v>99.49845117750246</v>
      </c>
      <c r="AT56" t="e">
        <f>((AP$45*0.82)*#REF!-D55*500+AT55*1.0225/(1-D55))</f>
        <v>#REF!</v>
      </c>
      <c r="AU56" s="1">
        <f t="shared" si="59"/>
        <v>210.55388260046973</v>
      </c>
      <c r="AV56" s="1">
        <f t="shared" si="60"/>
        <v>207.81229558744278</v>
      </c>
      <c r="AW56" s="1">
        <f t="shared" si="61"/>
        <v>2.7415870130269582</v>
      </c>
      <c r="AX56" s="1">
        <f t="shared" si="66"/>
        <v>100.04339254548282</v>
      </c>
      <c r="AY56" s="137">
        <f t="shared" si="62"/>
        <v>1.0452226504375672</v>
      </c>
      <c r="AZ56" s="137">
        <f t="shared" si="63"/>
        <v>0.34917136812170857</v>
      </c>
      <c r="BA56" s="1">
        <f t="shared" si="64"/>
        <v>0.69605128231585867</v>
      </c>
    </row>
    <row r="57" spans="1:53">
      <c r="A57" s="156">
        <v>57</v>
      </c>
      <c r="B57" s="150">
        <v>1.1323E-2</v>
      </c>
      <c r="C57" s="150">
        <v>5.7729999999999995E-3</v>
      </c>
      <c r="D57" s="150">
        <v>9.103E-3</v>
      </c>
      <c r="E57" s="160">
        <f t="shared" si="48"/>
        <v>90169.022228732007</v>
      </c>
      <c r="F57" s="218">
        <f t="shared" si="29"/>
        <v>25365.785147853552</v>
      </c>
      <c r="G57" s="56">
        <f t="shared" si="30"/>
        <v>437737.68229101558</v>
      </c>
      <c r="H57" s="141">
        <f t="shared" si="31"/>
        <v>0.67228575755997755</v>
      </c>
      <c r="I57" s="219">
        <f t="shared" si="32"/>
        <v>0.65365672381306694</v>
      </c>
      <c r="J57" s="137">
        <f t="shared" si="33"/>
        <v>13.299135115035892</v>
      </c>
      <c r="K57" s="220">
        <f t="shared" si="34"/>
        <v>1</v>
      </c>
      <c r="L57" s="221">
        <f t="shared" si="28"/>
        <v>25.32</v>
      </c>
      <c r="M57" s="221">
        <f t="shared" si="35"/>
        <v>24.599999999999998</v>
      </c>
      <c r="N57" s="137">
        <f t="shared" si="36"/>
        <v>5041.04</v>
      </c>
      <c r="O57" s="137">
        <f t="shared" si="37"/>
        <v>2068.2814930903819</v>
      </c>
      <c r="P57" s="137">
        <f t="shared" si="38"/>
        <v>0.7185247366880344</v>
      </c>
      <c r="Q57" s="137">
        <f t="shared" si="39"/>
        <v>0.2259458604821846</v>
      </c>
      <c r="R57" s="137">
        <f t="shared" si="40"/>
        <v>11.821893028940396</v>
      </c>
      <c r="S57" s="137">
        <f t="shared" si="41"/>
        <v>2984.5803999385585</v>
      </c>
      <c r="T57" s="222">
        <f t="shared" si="42"/>
        <v>3058.5229984292987</v>
      </c>
      <c r="U57" s="223">
        <f t="shared" si="49"/>
        <v>964.40027082505401</v>
      </c>
      <c r="V57" s="137">
        <f t="shared" si="50"/>
        <v>-58.168057970465654</v>
      </c>
      <c r="W57" s="224">
        <f t="shared" si="51"/>
        <v>8906.23</v>
      </c>
      <c r="X57" s="225">
        <f t="shared" si="43"/>
        <v>2835.35</v>
      </c>
      <c r="Y57" s="83">
        <f t="shared" si="44"/>
        <v>2905.6</v>
      </c>
      <c r="Z57" s="141">
        <f t="shared" si="45"/>
        <v>0.67203236794753773</v>
      </c>
      <c r="AA57" s="137">
        <f t="shared" si="46"/>
        <v>4175.9485214597498</v>
      </c>
      <c r="AB57" s="221">
        <f t="shared" si="47"/>
        <v>4294.3631753848649</v>
      </c>
      <c r="AC57" s="149"/>
      <c r="AD57" s="149"/>
      <c r="AG57" s="150">
        <v>1.0432E-2</v>
      </c>
      <c r="AH57" s="150">
        <v>5.3369999999999997E-3</v>
      </c>
      <c r="AJ57" s="150">
        <f t="shared" si="52"/>
        <v>0.62720045365586718</v>
      </c>
      <c r="AK57" s="141">
        <f t="shared" si="53"/>
        <v>2.1555742100641028E-3</v>
      </c>
      <c r="AL57" s="141">
        <f t="shared" si="54"/>
        <v>2.9297296940463068E-3</v>
      </c>
      <c r="AM57" s="141">
        <f t="shared" si="55"/>
        <v>6.7783758144655381E-4</v>
      </c>
      <c r="AN57" s="141">
        <f t="shared" si="56"/>
        <v>1.477736628617549E-3</v>
      </c>
      <c r="AO57" s="1">
        <f t="shared" si="57"/>
        <v>13.299135115035892</v>
      </c>
      <c r="AR57" s="1">
        <f t="shared" si="65"/>
        <v>315.0650916749567</v>
      </c>
      <c r="AS57" s="1">
        <f t="shared" si="58"/>
        <v>110.9369798014142</v>
      </c>
      <c r="AT57" t="e">
        <f>((AP$45*0.82)*#REF!-D56*500+AT56*1.0225/(1-D56))</f>
        <v>#REF!</v>
      </c>
      <c r="AU57" s="1">
        <f t="shared" si="59"/>
        <v>204.27471536695128</v>
      </c>
      <c r="AV57" s="1">
        <f t="shared" si="60"/>
        <v>201.61488834394413</v>
      </c>
      <c r="AW57" s="1">
        <f t="shared" si="61"/>
        <v>2.6598270230071535</v>
      </c>
      <c r="AX57" s="1">
        <f t="shared" si="66"/>
        <v>111.5292446223142</v>
      </c>
      <c r="AY57" s="137">
        <f t="shared" si="62"/>
        <v>1.0777871050320513</v>
      </c>
      <c r="AZ57" s="137">
        <f t="shared" si="63"/>
        <v>0.33891879072327691</v>
      </c>
      <c r="BA57" s="1">
        <f t="shared" si="64"/>
        <v>0.73886831430877442</v>
      </c>
    </row>
    <row r="58" spans="1:53">
      <c r="A58" s="156">
        <v>58</v>
      </c>
      <c r="B58" s="150">
        <v>1.2298999999999999E-2</v>
      </c>
      <c r="C58" s="150">
        <v>6.2519999999999997E-3</v>
      </c>
      <c r="D58" s="150">
        <v>9.8802000000000004E-3</v>
      </c>
      <c r="E58" s="160">
        <f t="shared" si="48"/>
        <v>89348.213619383867</v>
      </c>
      <c r="F58" s="218">
        <f t="shared" si="29"/>
        <v>24581.790127777644</v>
      </c>
      <c r="G58" s="56">
        <f t="shared" si="30"/>
        <v>412371.89714316203</v>
      </c>
      <c r="H58" s="141">
        <f t="shared" si="31"/>
        <v>0.68273897591118415</v>
      </c>
      <c r="I58" s="219">
        <f t="shared" si="32"/>
        <v>0.66252956540131835</v>
      </c>
      <c r="J58" s="137">
        <f t="shared" si="33"/>
        <v>12.887034957451883</v>
      </c>
      <c r="K58" s="220">
        <f t="shared" si="34"/>
        <v>1</v>
      </c>
      <c r="L58" s="221">
        <f t="shared" si="28"/>
        <v>26.52</v>
      </c>
      <c r="M58" s="221">
        <f t="shared" si="35"/>
        <v>25.68</v>
      </c>
      <c r="N58" s="137">
        <f t="shared" si="36"/>
        <v>5124.12</v>
      </c>
      <c r="O58" s="137">
        <f t="shared" si="37"/>
        <v>2004.1916765829169</v>
      </c>
      <c r="P58" s="137">
        <f t="shared" si="38"/>
        <v>0.74144087959042682</v>
      </c>
      <c r="Q58" s="137">
        <f t="shared" si="39"/>
        <v>0.21905448363388555</v>
      </c>
      <c r="R58" s="137">
        <f t="shared" si="40"/>
        <v>12.537273502956989</v>
      </c>
      <c r="S58" s="137">
        <f t="shared" si="41"/>
        <v>3132.4655969200398</v>
      </c>
      <c r="T58" s="222">
        <f t="shared" si="42"/>
        <v>3206.8572433414624</v>
      </c>
      <c r="U58" s="223">
        <f t="shared" si="49"/>
        <v>1070.1852242482234</v>
      </c>
      <c r="V58" s="137">
        <f t="shared" si="50"/>
        <v>-59.913099709579626</v>
      </c>
      <c r="W58" s="224">
        <f t="shared" si="51"/>
        <v>9010.27</v>
      </c>
      <c r="X58" s="225">
        <f t="shared" si="43"/>
        <v>2975.84</v>
      </c>
      <c r="Y58" s="83">
        <f t="shared" si="44"/>
        <v>3046.51</v>
      </c>
      <c r="Z58" s="141">
        <f t="shared" si="45"/>
        <v>0.6811834087966343</v>
      </c>
      <c r="AA58" s="137">
        <f t="shared" si="46"/>
        <v>4323.8337960138397</v>
      </c>
      <c r="AB58" s="221">
        <f t="shared" si="47"/>
        <v>4442.3790986379181</v>
      </c>
      <c r="AC58" s="149"/>
      <c r="AD58" s="149"/>
      <c r="AG58" s="150">
        <v>1.1323E-2</v>
      </c>
      <c r="AH58" s="150">
        <v>5.7729999999999995E-3</v>
      </c>
      <c r="AJ58" s="150">
        <f t="shared" si="52"/>
        <v>0.63791456102048116</v>
      </c>
      <c r="AK58" s="141">
        <f t="shared" si="53"/>
        <v>2.2243226387712802E-3</v>
      </c>
      <c r="AL58" s="141">
        <f t="shared" si="54"/>
        <v>2.6000922519316826E-3</v>
      </c>
      <c r="AM58" s="141">
        <f t="shared" si="55"/>
        <v>6.5716345090165661E-4</v>
      </c>
      <c r="AN58" s="141">
        <f t="shared" si="56"/>
        <v>1.5671591878696235E-3</v>
      </c>
      <c r="AO58" s="1">
        <f t="shared" si="57"/>
        <v>12.887034957451883</v>
      </c>
      <c r="AR58" s="1">
        <f t="shared" si="65"/>
        <v>320.25732663620641</v>
      </c>
      <c r="AS58" s="1">
        <f t="shared" si="58"/>
        <v>122.45453038227183</v>
      </c>
      <c r="AT58" t="e">
        <f>((AP$45*0.82)*#REF!-D57*500+AT57*1.0225/(1-D57))</f>
        <v>#REF!</v>
      </c>
      <c r="AU58" s="1">
        <f t="shared" si="59"/>
        <v>197.9448569464609</v>
      </c>
      <c r="AV58" s="1">
        <f t="shared" si="60"/>
        <v>195.36744995497054</v>
      </c>
      <c r="AW58" s="1">
        <f t="shared" si="61"/>
        <v>2.5774069914903635</v>
      </c>
      <c r="AX58" s="1">
        <f t="shared" si="66"/>
        <v>123.09604928368032</v>
      </c>
      <c r="AY58" s="137">
        <f t="shared" si="62"/>
        <v>1.1121613193856401</v>
      </c>
      <c r="AZ58" s="137">
        <f t="shared" si="63"/>
        <v>0.32858172545082831</v>
      </c>
      <c r="BA58" s="1">
        <f t="shared" si="64"/>
        <v>0.7835795939348118</v>
      </c>
    </row>
    <row r="59" spans="1:53">
      <c r="A59" s="156">
        <v>59</v>
      </c>
      <c r="B59" s="150">
        <v>1.3347999999999999E-2</v>
      </c>
      <c r="C59" s="150">
        <v>6.7619999999999998E-3</v>
      </c>
      <c r="D59" s="150">
        <v>1.07136E-2</v>
      </c>
      <c r="E59" s="160">
        <f t="shared" si="48"/>
        <v>88465.435399181632</v>
      </c>
      <c r="F59" s="218">
        <f t="shared" si="29"/>
        <v>23803.341931498468</v>
      </c>
      <c r="G59" s="56">
        <f t="shared" si="30"/>
        <v>387790.10701538436</v>
      </c>
      <c r="H59" s="141">
        <f t="shared" si="31"/>
        <v>0.6932448335182485</v>
      </c>
      <c r="I59" s="219">
        <f t="shared" si="32"/>
        <v>0.67132895252280889</v>
      </c>
      <c r="J59" s="137">
        <f t="shared" si="33"/>
        <v>12.471817134319044</v>
      </c>
      <c r="K59" s="220">
        <f t="shared" si="34"/>
        <v>1</v>
      </c>
      <c r="L59" s="221">
        <f t="shared" si="28"/>
        <v>27.839999999999996</v>
      </c>
      <c r="M59" s="221">
        <f t="shared" si="35"/>
        <v>26.880000000000003</v>
      </c>
      <c r="N59" s="137">
        <f t="shared" si="36"/>
        <v>5207.58</v>
      </c>
      <c r="O59" s="137">
        <f t="shared" si="37"/>
        <v>1939.6170007292978</v>
      </c>
      <c r="P59" s="137">
        <f t="shared" si="38"/>
        <v>0.7656884544488568</v>
      </c>
      <c r="Q59" s="137">
        <f t="shared" si="39"/>
        <v>0.21210968394125679</v>
      </c>
      <c r="R59" s="137">
        <f t="shared" si="40"/>
        <v>13.285890492182402</v>
      </c>
      <c r="S59" s="137">
        <f t="shared" si="41"/>
        <v>3281.2488897628846</v>
      </c>
      <c r="T59" s="222">
        <f t="shared" si="42"/>
        <v>3356.095368593798</v>
      </c>
      <c r="U59" s="223">
        <f t="shared" si="49"/>
        <v>1182.9517700963611</v>
      </c>
      <c r="V59" s="137">
        <f t="shared" si="50"/>
        <v>-61.710492700867007</v>
      </c>
      <c r="W59" s="224">
        <f t="shared" si="51"/>
        <v>9121.24</v>
      </c>
      <c r="X59" s="225">
        <f t="shared" si="43"/>
        <v>3117.19</v>
      </c>
      <c r="Y59" s="83">
        <f t="shared" si="44"/>
        <v>3188.29</v>
      </c>
      <c r="Z59" s="141">
        <f t="shared" si="45"/>
        <v>0.69038346217756663</v>
      </c>
      <c r="AA59" s="137">
        <f t="shared" si="46"/>
        <v>4468.7033062712608</v>
      </c>
      <c r="AB59" s="221">
        <f t="shared" si="47"/>
        <v>4587.4180389953772</v>
      </c>
      <c r="AC59" s="149"/>
      <c r="AD59" s="149"/>
      <c r="AG59" s="150">
        <v>1.2298999999999999E-2</v>
      </c>
      <c r="AH59" s="150">
        <v>6.2519999999999997E-3</v>
      </c>
      <c r="AJ59" s="150">
        <f t="shared" si="52"/>
        <v>0.64868605262552836</v>
      </c>
      <c r="AK59" s="141">
        <f t="shared" si="53"/>
        <v>2.2970653633465703E-3</v>
      </c>
      <c r="AL59" s="141">
        <f t="shared" si="54"/>
        <v>2.2617155293734601E-3</v>
      </c>
      <c r="AM59" s="141">
        <f t="shared" si="55"/>
        <v>6.3632905182377036E-4</v>
      </c>
      <c r="AN59" s="141">
        <f t="shared" si="56"/>
        <v>1.6607363115228001E-3</v>
      </c>
      <c r="AO59" s="1">
        <f t="shared" si="57"/>
        <v>12.471817134319044</v>
      </c>
      <c r="AR59" s="1">
        <f t="shared" si="65"/>
        <v>325.47388407745092</v>
      </c>
      <c r="AS59" s="1">
        <f t="shared" si="58"/>
        <v>134.0442564182562</v>
      </c>
      <c r="AT59" t="e">
        <f>((AP$45*0.82)*#REF!-D58*500+AT58*1.0225/(1-D58))</f>
        <v>#REF!</v>
      </c>
      <c r="AU59" s="1">
        <f t="shared" si="59"/>
        <v>191.56711118314053</v>
      </c>
      <c r="AV59" s="1">
        <f t="shared" si="60"/>
        <v>189.07274775627673</v>
      </c>
      <c r="AW59" s="1">
        <f t="shared" si="61"/>
        <v>2.4943634268637993</v>
      </c>
      <c r="AX59" s="1">
        <f t="shared" si="66"/>
        <v>134.73714105007178</v>
      </c>
      <c r="AY59" s="137">
        <f t="shared" si="62"/>
        <v>1.1485326816732853</v>
      </c>
      <c r="AZ59" s="137">
        <f t="shared" si="63"/>
        <v>0.31816452591188515</v>
      </c>
      <c r="BA59" s="1">
        <f t="shared" si="64"/>
        <v>0.83036815576140011</v>
      </c>
    </row>
    <row r="60" spans="1:53">
      <c r="A60" s="156">
        <v>60</v>
      </c>
      <c r="B60" s="150">
        <v>1.4563999999999999E-2</v>
      </c>
      <c r="C60" s="150">
        <v>7.2859999999999999E-3</v>
      </c>
      <c r="D60" s="150">
        <v>1.1652800000000001E-2</v>
      </c>
      <c r="E60" s="160">
        <f t="shared" si="48"/>
        <v>87517.652110488954</v>
      </c>
      <c r="F60" s="218">
        <f t="shared" si="29"/>
        <v>23030.144202817763</v>
      </c>
      <c r="G60" s="56">
        <f t="shared" si="30"/>
        <v>363986.76508388587</v>
      </c>
      <c r="H60" s="141">
        <f t="shared" si="31"/>
        <v>0.70380186740749595</v>
      </c>
      <c r="I60" s="219">
        <f t="shared" si="32"/>
        <v>0.6800456114416934</v>
      </c>
      <c r="J60" s="137">
        <f t="shared" si="33"/>
        <v>12.053427121684097</v>
      </c>
      <c r="K60" s="220">
        <f t="shared" si="34"/>
        <v>1</v>
      </c>
      <c r="L60" s="221">
        <f t="shared" si="28"/>
        <v>29.160000000000004</v>
      </c>
      <c r="M60" s="221">
        <f t="shared" si="35"/>
        <v>28.200000000000003</v>
      </c>
      <c r="N60" s="137">
        <f t="shared" si="36"/>
        <v>5291.42</v>
      </c>
      <c r="O60" s="137">
        <f t="shared" si="37"/>
        <v>1874.5489859643108</v>
      </c>
      <c r="P60" s="137">
        <f t="shared" si="38"/>
        <v>0.79139513559870645</v>
      </c>
      <c r="Q60" s="137">
        <f t="shared" si="39"/>
        <v>0.20511041105615885</v>
      </c>
      <c r="R60" s="137">
        <f t="shared" si="40"/>
        <v>14.070833389021141</v>
      </c>
      <c r="S60" s="137">
        <f t="shared" si="41"/>
        <v>3430.9418474247104</v>
      </c>
      <c r="T60" s="222">
        <f t="shared" si="42"/>
        <v>3506.1392004912523</v>
      </c>
      <c r="U60" s="223">
        <f t="shared" si="49"/>
        <v>1302.9324821106461</v>
      </c>
      <c r="V60" s="137">
        <f t="shared" si="50"/>
        <v>-63.56180748189302</v>
      </c>
      <c r="W60" s="224">
        <f t="shared" si="51"/>
        <v>9239.3700000000008</v>
      </c>
      <c r="X60" s="225">
        <f t="shared" si="43"/>
        <v>3259.39</v>
      </c>
      <c r="Y60" s="83">
        <f t="shared" si="44"/>
        <v>3330.83</v>
      </c>
      <c r="Z60" s="141">
        <f t="shared" si="45"/>
        <v>0.69963156278764027</v>
      </c>
      <c r="AA60" s="137">
        <f t="shared" si="46"/>
        <v>4610.6380290655552</v>
      </c>
      <c r="AB60" s="221">
        <f t="shared" si="47"/>
        <v>4729.4607318937324</v>
      </c>
      <c r="AC60" s="149"/>
      <c r="AD60" s="149"/>
      <c r="AG60" s="150">
        <v>1.3347999999999999E-2</v>
      </c>
      <c r="AH60" s="150">
        <v>6.7619999999999998E-3</v>
      </c>
      <c r="AJ60" s="150">
        <f t="shared" si="52"/>
        <v>0.65951379828736412</v>
      </c>
      <c r="AK60" s="141">
        <f t="shared" si="53"/>
        <v>2.3741854067961194E-3</v>
      </c>
      <c r="AL60" s="141">
        <f t="shared" si="54"/>
        <v>1.9138837133355544E-3</v>
      </c>
      <c r="AM60" s="141">
        <f t="shared" si="55"/>
        <v>6.153312331684766E-4</v>
      </c>
      <c r="AN60" s="141">
        <f t="shared" si="56"/>
        <v>1.7588541736276429E-3</v>
      </c>
      <c r="AO60" s="1">
        <f t="shared" si="57"/>
        <v>12.053427121684097</v>
      </c>
      <c r="AR60" s="1">
        <f t="shared" si="65"/>
        <v>330.71384100034982</v>
      </c>
      <c r="AS60" s="1">
        <f t="shared" si="58"/>
        <v>145.7060717979025</v>
      </c>
      <c r="AT60" t="e">
        <f>((AP$45*0.82)*#REF!-D59*500+AT59*1.0225/(1-D59))</f>
        <v>#REF!</v>
      </c>
      <c r="AU60" s="1">
        <f t="shared" si="59"/>
        <v>185.14064058906771</v>
      </c>
      <c r="AV60" s="1">
        <f t="shared" si="60"/>
        <v>182.72995516473091</v>
      </c>
      <c r="AW60" s="1">
        <f t="shared" si="61"/>
        <v>2.4106854243368048</v>
      </c>
      <c r="AX60" s="1">
        <f t="shared" si="66"/>
        <v>146.45262749809595</v>
      </c>
      <c r="AY60" s="137">
        <f t="shared" si="62"/>
        <v>1.1870927033980596</v>
      </c>
      <c r="AZ60" s="137">
        <f t="shared" si="63"/>
        <v>0.3076656165842383</v>
      </c>
      <c r="BA60" s="1">
        <f t="shared" si="64"/>
        <v>0.87942708681382131</v>
      </c>
    </row>
    <row r="61" spans="1:53">
      <c r="A61" s="156">
        <v>61</v>
      </c>
      <c r="B61" s="150">
        <v>1.5802999999999998E-2</v>
      </c>
      <c r="C61" s="150">
        <v>7.8230000000000001E-3</v>
      </c>
      <c r="D61" s="150">
        <v>1.2611000000000001E-2</v>
      </c>
      <c r="E61" s="160">
        <f t="shared" si="48"/>
        <v>86497.826413975854</v>
      </c>
      <c r="F61" s="218">
        <f t="shared" si="29"/>
        <v>22260.908106064715</v>
      </c>
      <c r="G61" s="56">
        <f t="shared" si="30"/>
        <v>340956.62088106811</v>
      </c>
      <c r="H61" s="141">
        <f t="shared" si="31"/>
        <v>0.71439359331111085</v>
      </c>
      <c r="I61" s="219">
        <f t="shared" si="32"/>
        <v>0.68869944150679352</v>
      </c>
      <c r="J61" s="137">
        <f t="shared" si="33"/>
        <v>11.63232843322467</v>
      </c>
      <c r="K61" s="220">
        <f t="shared" si="34"/>
        <v>1</v>
      </c>
      <c r="L61" s="221">
        <f t="shared" si="28"/>
        <v>30.72</v>
      </c>
      <c r="M61" s="221">
        <f t="shared" si="35"/>
        <v>29.64</v>
      </c>
      <c r="N61" s="137">
        <f t="shared" si="36"/>
        <v>5375.5</v>
      </c>
      <c r="O61" s="137">
        <f t="shared" si="37"/>
        <v>1809.0597179351007</v>
      </c>
      <c r="P61" s="137">
        <f t="shared" si="38"/>
        <v>0.8187421648482206</v>
      </c>
      <c r="Q61" s="137">
        <f t="shared" si="39"/>
        <v>0.19806418597761485</v>
      </c>
      <c r="R61" s="137">
        <f t="shared" si="40"/>
        <v>14.896271492894538</v>
      </c>
      <c r="S61" s="137">
        <f t="shared" si="41"/>
        <v>3581.3365535577936</v>
      </c>
      <c r="T61" s="222">
        <f t="shared" si="42"/>
        <v>3656.9939802496701</v>
      </c>
      <c r="U61" s="223">
        <f t="shared" si="49"/>
        <v>1430.3672091451517</v>
      </c>
      <c r="V61" s="137">
        <f t="shared" si="50"/>
        <v>-65.468661706349806</v>
      </c>
      <c r="W61" s="224">
        <f t="shared" si="51"/>
        <v>9364.9</v>
      </c>
      <c r="X61" s="225">
        <f t="shared" si="43"/>
        <v>3402.27</v>
      </c>
      <c r="Y61" s="83">
        <f t="shared" si="44"/>
        <v>3474.14</v>
      </c>
      <c r="Z61" s="141">
        <f t="shared" si="45"/>
        <v>0.70891380372237844</v>
      </c>
      <c r="AA61" s="137">
        <f t="shared" si="46"/>
        <v>4749.5802577946506</v>
      </c>
      <c r="AB61" s="221">
        <f t="shared" si="47"/>
        <v>4868.6149211890215</v>
      </c>
      <c r="AC61" s="149"/>
      <c r="AD61" s="149"/>
      <c r="AG61" s="150">
        <v>1.4563999999999999E-2</v>
      </c>
      <c r="AH61" s="150">
        <v>7.2859999999999999E-3</v>
      </c>
      <c r="AJ61" s="150">
        <f t="shared" si="52"/>
        <v>0.67038151569776339</v>
      </c>
      <c r="AK61" s="141">
        <f t="shared" si="53"/>
        <v>2.4562264945446615E-3</v>
      </c>
      <c r="AL61" s="141">
        <f t="shared" si="54"/>
        <v>1.5558511188027895E-3</v>
      </c>
      <c r="AM61" s="141">
        <f t="shared" si="55"/>
        <v>5.9419255793284457E-4</v>
      </c>
      <c r="AN61" s="141">
        <f t="shared" si="56"/>
        <v>1.8620339366118169E-3</v>
      </c>
      <c r="AO61" s="1">
        <f t="shared" si="57"/>
        <v>11.63232843322467</v>
      </c>
      <c r="AR61" s="1">
        <f t="shared" si="65"/>
        <v>335.96868340828308</v>
      </c>
      <c r="AS61" s="1">
        <f t="shared" si="58"/>
        <v>157.42434806406197</v>
      </c>
      <c r="AT61" t="e">
        <f>((AP$45*0.82)*#REF!-D60*500+AT60*1.0225/(1-D60))</f>
        <v>#REF!</v>
      </c>
      <c r="AU61" s="1">
        <f t="shared" si="59"/>
        <v>178.67256473433093</v>
      </c>
      <c r="AV61" s="1">
        <f t="shared" si="60"/>
        <v>176.34609904768598</v>
      </c>
      <c r="AW61" s="1">
        <f t="shared" si="61"/>
        <v>2.3264656866449513</v>
      </c>
      <c r="AX61" s="1">
        <f t="shared" si="66"/>
        <v>158.22713564225808</v>
      </c>
      <c r="AY61" s="137">
        <f t="shared" si="62"/>
        <v>1.2281132472723306</v>
      </c>
      <c r="AZ61" s="137">
        <f t="shared" si="63"/>
        <v>0.29709627896642227</v>
      </c>
      <c r="BA61" s="1">
        <f t="shared" si="64"/>
        <v>0.93101696830590841</v>
      </c>
    </row>
    <row r="62" spans="1:53">
      <c r="A62" s="156">
        <v>62</v>
      </c>
      <c r="B62" s="150">
        <v>1.7127E-2</v>
      </c>
      <c r="C62" s="150">
        <v>8.4000000000000012E-3</v>
      </c>
      <c r="D62" s="150">
        <v>1.3636200000000001E-2</v>
      </c>
      <c r="E62" s="160">
        <f t="shared" si="48"/>
        <v>85407.002325069203</v>
      </c>
      <c r="F62" s="218">
        <f t="shared" si="29"/>
        <v>21496.504443950249</v>
      </c>
      <c r="G62" s="56">
        <f t="shared" si="30"/>
        <v>318695.7127750034</v>
      </c>
      <c r="H62" s="141">
        <f t="shared" si="31"/>
        <v>0.72503511746313176</v>
      </c>
      <c r="I62" s="219">
        <f t="shared" si="32"/>
        <v>0.69721999278027214</v>
      </c>
      <c r="J62" s="137">
        <f t="shared" si="33"/>
        <v>11.20784536190116</v>
      </c>
      <c r="K62" s="220">
        <f t="shared" si="34"/>
        <v>1</v>
      </c>
      <c r="L62" s="221">
        <f t="shared" si="28"/>
        <v>32.400000000000006</v>
      </c>
      <c r="M62" s="221">
        <f t="shared" si="35"/>
        <v>31.08</v>
      </c>
      <c r="N62" s="137">
        <f t="shared" si="36"/>
        <v>5459.93</v>
      </c>
      <c r="O62" s="137">
        <f t="shared" si="37"/>
        <v>1743.0441106828687</v>
      </c>
      <c r="P62" s="137">
        <f t="shared" si="38"/>
        <v>0.84785617781573996</v>
      </c>
      <c r="Q62" s="137">
        <f t="shared" si="39"/>
        <v>0.19095961013181606</v>
      </c>
      <c r="R62" s="137">
        <f t="shared" si="40"/>
        <v>15.765517624414173</v>
      </c>
      <c r="S62" s="137">
        <f t="shared" si="41"/>
        <v>3732.6514069415462</v>
      </c>
      <c r="T62" s="222">
        <f t="shared" si="42"/>
        <v>3808.7962947083993</v>
      </c>
      <c r="U62" s="223">
        <f t="shared" si="49"/>
        <v>1565.4976416736195</v>
      </c>
      <c r="V62" s="137">
        <f t="shared" si="50"/>
        <v>-67.432721557540305</v>
      </c>
      <c r="W62" s="224">
        <f t="shared" si="51"/>
        <v>9498.06</v>
      </c>
      <c r="X62" s="225">
        <f t="shared" si="43"/>
        <v>3546.02</v>
      </c>
      <c r="Y62" s="83">
        <f t="shared" si="44"/>
        <v>3618.36</v>
      </c>
      <c r="Z62" s="141">
        <f t="shared" si="45"/>
        <v>0.71824363478439901</v>
      </c>
      <c r="AA62" s="137">
        <f t="shared" si="46"/>
        <v>4885.7965122119413</v>
      </c>
      <c r="AB62" s="221">
        <f t="shared" si="47"/>
        <v>5005.1109291178636</v>
      </c>
      <c r="AC62" s="149"/>
      <c r="AD62" s="149"/>
      <c r="AG62" s="150">
        <v>1.5802999999999998E-2</v>
      </c>
      <c r="AH62" s="150">
        <v>7.8230000000000001E-3</v>
      </c>
      <c r="AJ62" s="150">
        <f t="shared" si="52"/>
        <v>0.68130495198666019</v>
      </c>
      <c r="AK62" s="141">
        <f t="shared" si="53"/>
        <v>2.5435685334472199E-3</v>
      </c>
      <c r="AL62" s="141">
        <f t="shared" si="54"/>
        <v>1.1865969430243323E-3</v>
      </c>
      <c r="AM62" s="141">
        <f t="shared" si="55"/>
        <v>5.7287883039544823E-4</v>
      </c>
      <c r="AN62" s="141">
        <f t="shared" si="56"/>
        <v>1.9706897030517716E-3</v>
      </c>
      <c r="AO62" s="1">
        <f t="shared" si="57"/>
        <v>11.20784536190116</v>
      </c>
      <c r="AR62" s="1">
        <f t="shared" si="65"/>
        <v>341.24577446484227</v>
      </c>
      <c r="AS62" s="1">
        <f t="shared" si="58"/>
        <v>169.21681979177364</v>
      </c>
      <c r="AT62" t="e">
        <f>((AP$45*0.82)*#REF!-D61*500+AT61*1.0225/(1-D61))</f>
        <v>#REF!</v>
      </c>
      <c r="AU62" s="1">
        <f t="shared" si="59"/>
        <v>172.15250475880183</v>
      </c>
      <c r="AV62" s="1">
        <f t="shared" si="60"/>
        <v>169.9109356864216</v>
      </c>
      <c r="AW62" s="1">
        <f t="shared" si="61"/>
        <v>2.24156907238023</v>
      </c>
      <c r="AX62" s="1">
        <f t="shared" si="66"/>
        <v>170.07861455756634</v>
      </c>
      <c r="AY62" s="137">
        <f t="shared" si="62"/>
        <v>1.2717842667236099</v>
      </c>
      <c r="AZ62" s="137">
        <f t="shared" si="63"/>
        <v>0.28643941519772409</v>
      </c>
      <c r="BA62" s="1">
        <f t="shared" si="64"/>
        <v>0.9853448515258858</v>
      </c>
    </row>
    <row r="63" spans="1:53">
      <c r="A63" s="156">
        <v>63</v>
      </c>
      <c r="B63" s="150">
        <v>1.8633999999999998E-2</v>
      </c>
      <c r="C63" s="150">
        <v>9.0200000000000002E-3</v>
      </c>
      <c r="D63" s="150">
        <v>1.47884E-2</v>
      </c>
      <c r="E63" s="160">
        <f t="shared" si="48"/>
        <v>84242.375359964091</v>
      </c>
      <c r="F63" s="218">
        <f t="shared" si="29"/>
        <v>20736.795902251011</v>
      </c>
      <c r="G63" s="56">
        <f t="shared" si="30"/>
        <v>297199.20833105315</v>
      </c>
      <c r="H63" s="141">
        <f t="shared" si="31"/>
        <v>0.73572750814499888</v>
      </c>
      <c r="I63" s="219">
        <f t="shared" si="32"/>
        <v>0.70555148777247612</v>
      </c>
      <c r="J63" s="137">
        <f t="shared" si="33"/>
        <v>10.77978274845238</v>
      </c>
      <c r="K63" s="220">
        <f t="shared" si="34"/>
        <v>1</v>
      </c>
      <c r="L63" s="221">
        <f t="shared" si="28"/>
        <v>34.08</v>
      </c>
      <c r="M63" s="221">
        <f t="shared" si="35"/>
        <v>32.76</v>
      </c>
      <c r="N63" s="137">
        <f t="shared" si="36"/>
        <v>5544.73</v>
      </c>
      <c r="O63" s="137">
        <f t="shared" si="37"/>
        <v>1676.4718130393142</v>
      </c>
      <c r="P63" s="137">
        <f t="shared" si="38"/>
        <v>0.87891804404885288</v>
      </c>
      <c r="Q63" s="137">
        <f t="shared" si="39"/>
        <v>0.1837932309418841</v>
      </c>
      <c r="R63" s="137">
        <f t="shared" si="40"/>
        <v>16.682995514567249</v>
      </c>
      <c r="S63" s="137">
        <f t="shared" si="41"/>
        <v>3884.9411824752528</v>
      </c>
      <c r="T63" s="222">
        <f t="shared" si="42"/>
        <v>3961.4744682154283</v>
      </c>
      <c r="U63" s="223">
        <f t="shared" si="49"/>
        <v>1708.5783446525729</v>
      </c>
      <c r="V63" s="137">
        <f t="shared" si="50"/>
        <v>-69.455703204266513</v>
      </c>
      <c r="W63" s="224">
        <f t="shared" si="51"/>
        <v>9639.1200000000008</v>
      </c>
      <c r="X63" s="225">
        <f t="shared" si="43"/>
        <v>3690.69</v>
      </c>
      <c r="Y63" s="83">
        <f t="shared" si="44"/>
        <v>3763.4</v>
      </c>
      <c r="Z63" s="141">
        <f t="shared" si="45"/>
        <v>0.72762242143015332</v>
      </c>
      <c r="AA63" s="137">
        <f t="shared" si="46"/>
        <v>5019.4236718581487</v>
      </c>
      <c r="AB63" s="221">
        <f t="shared" si="47"/>
        <v>5138.9399034677008</v>
      </c>
      <c r="AC63" s="149"/>
      <c r="AD63" s="149"/>
      <c r="AG63" s="150">
        <v>1.7127E-2</v>
      </c>
      <c r="AH63" s="150">
        <v>8.4000000000000012E-3</v>
      </c>
      <c r="AJ63" s="150">
        <f t="shared" si="52"/>
        <v>0.69228570584072513</v>
      </c>
      <c r="AK63" s="141">
        <f t="shared" si="53"/>
        <v>2.6367541321465587E-3</v>
      </c>
      <c r="AL63" s="141">
        <f t="shared" si="54"/>
        <v>8.0504817212713941E-4</v>
      </c>
      <c r="AM63" s="141">
        <f t="shared" si="55"/>
        <v>5.5137969282565227E-4</v>
      </c>
      <c r="AN63" s="141">
        <f t="shared" si="56"/>
        <v>2.0853744393209066E-3</v>
      </c>
      <c r="AO63" s="1">
        <f t="shared" si="57"/>
        <v>10.77978274845238</v>
      </c>
      <c r="AR63" s="1">
        <f t="shared" si="65"/>
        <v>346.54537700642612</v>
      </c>
      <c r="AS63" s="1">
        <f t="shared" si="58"/>
        <v>181.08674531234303</v>
      </c>
      <c r="AT63" t="e">
        <f>((AP$45*0.82)*#REF!-D62*500+AT62*1.0225/(1-D62))</f>
        <v>#REF!</v>
      </c>
      <c r="AU63" s="1">
        <f t="shared" si="59"/>
        <v>165.57746301622856</v>
      </c>
      <c r="AV63" s="1">
        <f t="shared" si="60"/>
        <v>163.42150646653809</v>
      </c>
      <c r="AW63" s="1">
        <f t="shared" si="61"/>
        <v>2.1559565496904725</v>
      </c>
      <c r="AX63" s="1">
        <f t="shared" si="66"/>
        <v>182.01060120985804</v>
      </c>
      <c r="AY63" s="137">
        <f t="shared" si="62"/>
        <v>1.3183770660732794</v>
      </c>
      <c r="AZ63" s="137">
        <f t="shared" si="63"/>
        <v>0.27568984641282612</v>
      </c>
      <c r="BA63" s="1">
        <f t="shared" si="64"/>
        <v>1.0426872196604533</v>
      </c>
    </row>
    <row r="64" spans="1:53">
      <c r="A64" s="156">
        <v>64</v>
      </c>
      <c r="B64" s="150">
        <v>2.0296999999999999E-2</v>
      </c>
      <c r="C64" s="150">
        <v>9.7349999999999989E-3</v>
      </c>
      <c r="D64" s="150">
        <v>1.6072200000000002E-2</v>
      </c>
      <c r="E64" s="160">
        <f t="shared" si="48"/>
        <v>82996.565416190802</v>
      </c>
      <c r="F64" s="218">
        <f t="shared" si="29"/>
        <v>19980.569065750773</v>
      </c>
      <c r="G64" s="56">
        <f t="shared" si="30"/>
        <v>276462.41242880211</v>
      </c>
      <c r="H64" s="141">
        <f t="shared" si="31"/>
        <v>0.74645565686030002</v>
      </c>
      <c r="I64" s="219">
        <f t="shared" si="32"/>
        <v>0.71364980791454313</v>
      </c>
      <c r="J64" s="137">
        <f t="shared" si="33"/>
        <v>10.348488650560505</v>
      </c>
      <c r="K64" s="220">
        <f t="shared" si="34"/>
        <v>1</v>
      </c>
      <c r="L64" s="221">
        <f t="shared" si="28"/>
        <v>36.119999999999997</v>
      </c>
      <c r="M64" s="221">
        <f t="shared" si="35"/>
        <v>34.56</v>
      </c>
      <c r="N64" s="137">
        <f t="shared" si="36"/>
        <v>5629.75</v>
      </c>
      <c r="O64" s="137">
        <f t="shared" si="37"/>
        <v>1609.3969549351698</v>
      </c>
      <c r="P64" s="137">
        <f t="shared" si="38"/>
        <v>0.91218343352834252</v>
      </c>
      <c r="Q64" s="137">
        <f t="shared" si="39"/>
        <v>0.17657056307945315</v>
      </c>
      <c r="R64" s="137">
        <f t="shared" si="40"/>
        <v>17.654708890773342</v>
      </c>
      <c r="S64" s="137">
        <f t="shared" si="41"/>
        <v>4038.0077539556037</v>
      </c>
      <c r="T64" s="222">
        <f t="shared" si="42"/>
        <v>4114.8699106106405</v>
      </c>
      <c r="U64" s="223">
        <f t="shared" si="49"/>
        <v>1859.8729304408878</v>
      </c>
      <c r="V64" s="137">
        <f t="shared" si="50"/>
        <v>-71.539374300394499</v>
      </c>
      <c r="W64" s="224">
        <f t="shared" si="51"/>
        <v>9788.33</v>
      </c>
      <c r="X64" s="225">
        <f t="shared" si="43"/>
        <v>3836.11</v>
      </c>
      <c r="Y64" s="83">
        <f t="shared" si="44"/>
        <v>3909.13</v>
      </c>
      <c r="Z64" s="141">
        <f t="shared" si="45"/>
        <v>0.73703763324785476</v>
      </c>
      <c r="AA64" s="137">
        <f t="shared" si="46"/>
        <v>5150.3936464954259</v>
      </c>
      <c r="AB64" s="221">
        <f t="shared" si="47"/>
        <v>5270.0864169286906</v>
      </c>
      <c r="AC64" s="149"/>
      <c r="AD64" s="149"/>
      <c r="AG64" s="150">
        <v>1.8633999999999998E-2</v>
      </c>
      <c r="AH64" s="150">
        <v>9.0200000000000002E-3</v>
      </c>
      <c r="AJ64" s="150">
        <f t="shared" si="52"/>
        <v>0.7033091065597149</v>
      </c>
      <c r="AK64" s="141">
        <f t="shared" si="53"/>
        <v>2.7365503005850273E-3</v>
      </c>
      <c r="AL64" s="141">
        <f t="shared" si="54"/>
        <v>4.0999999999999961E-4</v>
      </c>
      <c r="AM64" s="141">
        <f t="shared" si="55"/>
        <v>5.2971168923835951E-4</v>
      </c>
      <c r="AN64" s="141">
        <f t="shared" si="56"/>
        <v>2.2068386113466678E-3</v>
      </c>
      <c r="AO64" s="1">
        <f t="shared" si="57"/>
        <v>10.348488650560505</v>
      </c>
      <c r="AR64" s="1">
        <f t="shared" si="65"/>
        <v>351.85955327985744</v>
      </c>
      <c r="AS64" s="1">
        <f t="shared" si="58"/>
        <v>193.02084454342102</v>
      </c>
      <c r="AT64" t="e">
        <f>((AP$45*0.82)*#REF!-D63*500+AT63*1.0225/(1-D63))</f>
        <v>#REF!</v>
      </c>
      <c r="AU64" s="1">
        <f t="shared" si="59"/>
        <v>158.95278567260934</v>
      </c>
      <c r="AV64" s="1">
        <f t="shared" si="60"/>
        <v>156.88308794249724</v>
      </c>
      <c r="AW64" s="1">
        <f t="shared" si="61"/>
        <v>2.0696977301120967</v>
      </c>
      <c r="AX64" s="1">
        <f t="shared" si="66"/>
        <v>194.01018691292145</v>
      </c>
      <c r="AY64" s="137">
        <f t="shared" si="62"/>
        <v>1.3682751502925137</v>
      </c>
      <c r="AZ64" s="137">
        <f t="shared" si="63"/>
        <v>0.26485584461917977</v>
      </c>
      <c r="BA64" s="1">
        <f t="shared" si="64"/>
        <v>1.1034193056733339</v>
      </c>
    </row>
    <row r="65" spans="1:53">
      <c r="A65" s="234">
        <v>65</v>
      </c>
      <c r="B65" s="150">
        <v>2.2074E-2</v>
      </c>
      <c r="C65" s="150">
        <v>1.0579E-2</v>
      </c>
      <c r="D65" s="150">
        <v>1.7476000000000002E-2</v>
      </c>
      <c r="E65" s="160">
        <f t="shared" si="48"/>
        <v>81662.628017508701</v>
      </c>
      <c r="F65" s="235">
        <f t="shared" si="29"/>
        <v>19226.833607444711</v>
      </c>
      <c r="G65" s="236">
        <f t="shared" si="30"/>
        <v>256481.84336305136</v>
      </c>
      <c r="H65" s="237">
        <f t="shared" si="31"/>
        <v>0.75720676829636113</v>
      </c>
      <c r="I65" s="219">
        <f t="shared" si="32"/>
        <v>0.72144272571202372</v>
      </c>
      <c r="J65" s="137">
        <f t="shared" si="33"/>
        <v>9.9141942111119494</v>
      </c>
      <c r="K65" s="220">
        <f t="shared" si="34"/>
        <v>1</v>
      </c>
      <c r="L65" s="221">
        <f t="shared" si="28"/>
        <v>38.160000000000004</v>
      </c>
      <c r="M65" s="221">
        <f t="shared" si="35"/>
        <v>36.36</v>
      </c>
      <c r="N65" s="137">
        <f t="shared" si="36"/>
        <v>5714.9</v>
      </c>
      <c r="O65" s="137">
        <f t="shared" si="37"/>
        <v>1541.8554837121305</v>
      </c>
      <c r="P65" s="137">
        <f t="shared" si="38"/>
        <v>0.94794309174182301</v>
      </c>
      <c r="Q65" s="137">
        <f t="shared" si="39"/>
        <v>0.16929513433310184</v>
      </c>
      <c r="R65" s="137">
        <f t="shared" si="40"/>
        <v>18.687550977809309</v>
      </c>
      <c r="S65" s="137">
        <f t="shared" si="41"/>
        <v>4191.7320672656788</v>
      </c>
      <c r="T65" s="238">
        <f t="shared" si="42"/>
        <v>4270.6116569321903</v>
      </c>
      <c r="U65" s="239">
        <f t="shared" si="49"/>
        <v>2019.6478180184713</v>
      </c>
      <c r="V65" s="240">
        <f t="shared" si="50"/>
        <v>-73.685555529406329</v>
      </c>
      <c r="W65" s="241">
        <f t="shared" si="51"/>
        <v>9945.9599999999991</v>
      </c>
      <c r="X65" s="242">
        <f t="shared" si="43"/>
        <v>3982.15</v>
      </c>
      <c r="Y65" s="241">
        <f t="shared" si="44"/>
        <v>4057.08</v>
      </c>
      <c r="Z65" s="141">
        <f t="shared" si="45"/>
        <v>0.74647883716257513</v>
      </c>
      <c r="AA65" s="137">
        <f t="shared" si="46"/>
        <v>5278.6896215830675</v>
      </c>
      <c r="AB65" s="221">
        <f t="shared" si="47"/>
        <v>5400.7239885765348</v>
      </c>
      <c r="AC65" s="149"/>
      <c r="AD65" s="149"/>
      <c r="AG65" s="150">
        <v>2.0296999999999999E-2</v>
      </c>
      <c r="AH65" s="150">
        <v>9.7349999999999989E-3</v>
      </c>
      <c r="AJ65" s="150">
        <f t="shared" si="52"/>
        <v>0.71436293902113568</v>
      </c>
      <c r="AK65" s="141">
        <f t="shared" si="53"/>
        <v>2.8438292752254687E-3</v>
      </c>
      <c r="AL65" s="141">
        <f t="shared" si="54"/>
        <v>0</v>
      </c>
      <c r="AM65" s="141">
        <f t="shared" si="55"/>
        <v>5.078854029993055E-4</v>
      </c>
      <c r="AN65" s="141">
        <f t="shared" si="56"/>
        <v>2.3359438722261633E-3</v>
      </c>
      <c r="AO65" s="1">
        <f t="shared" si="57"/>
        <v>9.9141942111119494</v>
      </c>
      <c r="AR65" s="1">
        <f t="shared" si="65"/>
        <v>357.18146951056787</v>
      </c>
      <c r="AS65" s="1">
        <f t="shared" si="58"/>
        <v>205.00873590371589</v>
      </c>
      <c r="AT65" t="e">
        <f>((AP$45*0.82)*#REF!-D64*500+AT64*1.0225/(1-D64))</f>
        <v>#REF!</v>
      </c>
      <c r="AU65" s="1">
        <f t="shared" si="59"/>
        <v>152.28202308267953</v>
      </c>
      <c r="AV65" s="1">
        <f t="shared" si="60"/>
        <v>150.29918424045715</v>
      </c>
      <c r="AW65" s="1">
        <f t="shared" si="61"/>
        <v>1.9828388422223782</v>
      </c>
      <c r="AX65" s="1">
        <f t="shared" si="66"/>
        <v>206.06741836400141</v>
      </c>
      <c r="AY65" s="137">
        <f t="shared" si="62"/>
        <v>1.4219146376127343</v>
      </c>
      <c r="AZ65" s="137">
        <f t="shared" si="63"/>
        <v>0.25394270149965276</v>
      </c>
      <c r="BA65" s="1">
        <f t="shared" si="64"/>
        <v>1.1679719361130816</v>
      </c>
    </row>
    <row r="66" spans="1:53">
      <c r="A66" s="156">
        <v>66</v>
      </c>
      <c r="B66" s="150">
        <v>2.4122999999999999E-2</v>
      </c>
      <c r="C66" s="150">
        <v>1.1585999999999999E-2</v>
      </c>
      <c r="D66" s="150">
        <v>1.9108200000000002E-2</v>
      </c>
      <c r="E66" s="160">
        <f t="shared" si="48"/>
        <v>80235.491930274715</v>
      </c>
      <c r="F66" s="218">
        <f t="shared" si="29"/>
        <v>18475.134927453306</v>
      </c>
      <c r="G66" s="56">
        <f t="shared" si="30"/>
        <v>237255.00975560665</v>
      </c>
      <c r="H66" s="141">
        <f t="shared" si="31"/>
        <v>0.76797528021401129</v>
      </c>
      <c r="I66" s="219">
        <f t="shared" si="32"/>
        <v>0.72881747000992969</v>
      </c>
      <c r="J66" s="137">
        <f t="shared" si="33"/>
        <v>9.4768381555890429</v>
      </c>
      <c r="K66" s="220">
        <f t="shared" si="34"/>
        <v>1</v>
      </c>
      <c r="L66" s="221">
        <f t="shared" si="28"/>
        <v>40.56</v>
      </c>
      <c r="M66" s="221">
        <f t="shared" si="35"/>
        <v>38.519999999999996</v>
      </c>
      <c r="N66" s="137">
        <f t="shared" si="36"/>
        <v>5803.54</v>
      </c>
      <c r="O66" s="137">
        <f t="shared" si="37"/>
        <v>1473.8378699572081</v>
      </c>
      <c r="P66" s="137">
        <f t="shared" si="38"/>
        <v>0.9865120967080846</v>
      </c>
      <c r="Q66" s="137">
        <f t="shared" si="39"/>
        <v>0.16196557354520513</v>
      </c>
      <c r="R66" s="137">
        <f t="shared" si="40"/>
        <v>19.789116555909107</v>
      </c>
      <c r="S66" s="137">
        <f t="shared" si="41"/>
        <v>4349.4912465987009</v>
      </c>
      <c r="T66" s="222">
        <f t="shared" si="42"/>
        <v>4428.5618855893472</v>
      </c>
      <c r="U66" s="223">
        <f t="shared" si="49"/>
        <v>2188.1743532911164</v>
      </c>
      <c r="V66" s="137">
        <f t="shared" si="50"/>
        <v>-75.896122195288541</v>
      </c>
      <c r="W66" s="224">
        <f t="shared" si="51"/>
        <v>10112.280000000001</v>
      </c>
      <c r="X66" s="225">
        <f t="shared" si="43"/>
        <v>4132.0200000000004</v>
      </c>
      <c r="Y66" s="83">
        <f t="shared" si="44"/>
        <v>4207.13</v>
      </c>
      <c r="Z66" s="141">
        <f t="shared" si="45"/>
        <v>0.75594195256170105</v>
      </c>
      <c r="AA66" s="137">
        <f t="shared" si="46"/>
        <v>5408.6297404842217</v>
      </c>
      <c r="AB66" s="221">
        <f t="shared" si="47"/>
        <v>5530.8130695458522</v>
      </c>
      <c r="AC66" s="149"/>
      <c r="AD66" s="149"/>
      <c r="AG66" s="150">
        <v>2.2074E-2</v>
      </c>
      <c r="AH66" s="150">
        <v>1.0579E-2</v>
      </c>
      <c r="AJ66" s="150">
        <f t="shared" si="52"/>
        <v>0.72544242561308747</v>
      </c>
      <c r="AK66" s="141">
        <f t="shared" si="53"/>
        <v>2.9595362901242536E-3</v>
      </c>
      <c r="AL66" s="141">
        <f t="shared" si="54"/>
        <v>-4.2668168920046752E-4</v>
      </c>
      <c r="AM66" s="141">
        <f t="shared" si="55"/>
        <v>4.858967206356154E-4</v>
      </c>
      <c r="AN66" s="141">
        <f t="shared" si="56"/>
        <v>2.4736395694886382E-3</v>
      </c>
      <c r="AO66" s="1">
        <f t="shared" si="57"/>
        <v>9.4768381555890429</v>
      </c>
      <c r="AR66" s="1">
        <f t="shared" si="65"/>
        <v>362.50787196194352</v>
      </c>
      <c r="AS66" s="1">
        <f t="shared" si="58"/>
        <v>217.04810615774326</v>
      </c>
      <c r="AT66" t="e">
        <f>((AP$45*0.82)*#REF!-D65*500+AT65*1.0225/(1-D65))</f>
        <v>#REF!</v>
      </c>
      <c r="AU66" s="1">
        <f t="shared" si="59"/>
        <v>145.56423406984769</v>
      </c>
      <c r="AV66" s="1">
        <f t="shared" si="60"/>
        <v>143.66886643872988</v>
      </c>
      <c r="AW66" s="1">
        <f t="shared" si="61"/>
        <v>1.8953676311178072</v>
      </c>
      <c r="AX66" s="1">
        <f t="shared" si="66"/>
        <v>218.18045767684018</v>
      </c>
      <c r="AY66" s="137">
        <f t="shared" si="62"/>
        <v>1.4797681450621267</v>
      </c>
      <c r="AZ66" s="137">
        <f t="shared" si="63"/>
        <v>0.2429483603178077</v>
      </c>
      <c r="BA66" s="1">
        <f t="shared" si="64"/>
        <v>1.236819784744319</v>
      </c>
    </row>
    <row r="67" spans="1:53">
      <c r="A67" s="156">
        <v>67</v>
      </c>
      <c r="B67" s="150">
        <v>2.6417E-2</v>
      </c>
      <c r="C67" s="150">
        <v>1.2832E-2</v>
      </c>
      <c r="D67" s="150">
        <v>2.0983000000000002E-2</v>
      </c>
      <c r="E67" s="160">
        <f t="shared" si="48"/>
        <v>78702.33610337264</v>
      </c>
      <c r="F67" s="218">
        <f t="shared" si="29"/>
        <v>17723.333353772661</v>
      </c>
      <c r="G67" s="56">
        <f t="shared" si="30"/>
        <v>218779.87482815335</v>
      </c>
      <c r="H67" s="141">
        <f t="shared" si="31"/>
        <v>0.77872931504223819</v>
      </c>
      <c r="I67" s="219">
        <f t="shared" si="32"/>
        <v>0.73571646147182124</v>
      </c>
      <c r="J67" s="137">
        <f t="shared" si="33"/>
        <v>9.0372158795942585</v>
      </c>
      <c r="K67" s="220">
        <f t="shared" si="34"/>
        <v>1</v>
      </c>
      <c r="L67" s="221">
        <f t="shared" si="28"/>
        <v>43.08</v>
      </c>
      <c r="M67" s="221">
        <f t="shared" si="35"/>
        <v>40.799999999999997</v>
      </c>
      <c r="N67" s="137">
        <f t="shared" si="36"/>
        <v>5892.13</v>
      </c>
      <c r="O67" s="137">
        <f t="shared" si="37"/>
        <v>1405.4678135944991</v>
      </c>
      <c r="P67" s="137">
        <f t="shared" si="38"/>
        <v>1.0283587026459149</v>
      </c>
      <c r="Q67" s="137">
        <f t="shared" si="39"/>
        <v>0.15459461204212813</v>
      </c>
      <c r="R67" s="137">
        <f t="shared" si="40"/>
        <v>20.970338174490884</v>
      </c>
      <c r="S67" s="137">
        <f t="shared" si="41"/>
        <v>4507.6325245799926</v>
      </c>
      <c r="T67" s="222">
        <f t="shared" si="42"/>
        <v>4586.7408613456964</v>
      </c>
      <c r="U67" s="223">
        <f t="shared" si="49"/>
        <v>2365.8189834897667</v>
      </c>
      <c r="V67" s="137">
        <f t="shared" si="50"/>
        <v>-78.173005861147175</v>
      </c>
      <c r="W67" s="224">
        <f t="shared" si="51"/>
        <v>10287.65</v>
      </c>
      <c r="X67" s="225">
        <f t="shared" si="43"/>
        <v>4282.25</v>
      </c>
      <c r="Y67" s="83">
        <f t="shared" si="44"/>
        <v>4357.3999999999996</v>
      </c>
      <c r="Z67" s="141">
        <f t="shared" si="45"/>
        <v>0.76540036984134352</v>
      </c>
      <c r="AA67" s="137">
        <f t="shared" si="46"/>
        <v>5535.8489264473847</v>
      </c>
      <c r="AB67" s="221">
        <f t="shared" si="47"/>
        <v>5658.1160026657517</v>
      </c>
      <c r="AC67" s="149"/>
      <c r="AD67" s="149"/>
      <c r="AG67" s="150">
        <v>2.4122999999999999E-2</v>
      </c>
      <c r="AH67" s="150">
        <v>1.1585999999999999E-2</v>
      </c>
      <c r="AJ67" s="150">
        <f t="shared" si="52"/>
        <v>0.73651641161145764</v>
      </c>
      <c r="AK67" s="141">
        <f t="shared" si="53"/>
        <v>3.0850761079377446E-3</v>
      </c>
      <c r="AL67" s="141">
        <f t="shared" si="54"/>
        <v>-8.7217267715713174E-4</v>
      </c>
      <c r="AM67" s="141">
        <f t="shared" si="55"/>
        <v>4.6378383612638438E-4</v>
      </c>
      <c r="AN67" s="141">
        <f t="shared" si="56"/>
        <v>2.6212922718113602E-3</v>
      </c>
      <c r="AO67" s="1">
        <f t="shared" si="57"/>
        <v>9.0372158795942585</v>
      </c>
      <c r="AR67" s="1">
        <f t="shared" si="65"/>
        <v>367.82211946715029</v>
      </c>
      <c r="AS67" s="1">
        <f t="shared" si="58"/>
        <v>229.11010563028708</v>
      </c>
      <c r="AT67" t="e">
        <f>((AP$45*0.82)*#REF!-D66*500+AT66*1.0225/(1-D66))</f>
        <v>#REF!</v>
      </c>
      <c r="AU67" s="1">
        <f t="shared" si="59"/>
        <v>138.81163591056782</v>
      </c>
      <c r="AV67" s="1">
        <f t="shared" si="60"/>
        <v>137.00419273464897</v>
      </c>
      <c r="AW67" s="1">
        <f t="shared" si="61"/>
        <v>1.8074431759188485</v>
      </c>
      <c r="AX67" s="1">
        <f t="shared" si="66"/>
        <v>230.32112969248817</v>
      </c>
      <c r="AY67" s="137">
        <f t="shared" si="62"/>
        <v>1.5425380539688722</v>
      </c>
      <c r="AZ67" s="137">
        <f t="shared" si="63"/>
        <v>0.2318919180631922</v>
      </c>
      <c r="BA67" s="1">
        <f t="shared" si="64"/>
        <v>1.31064613590568</v>
      </c>
    </row>
    <row r="68" spans="1:53">
      <c r="A68" s="156">
        <v>68</v>
      </c>
      <c r="B68" s="150">
        <v>2.8978E-2</v>
      </c>
      <c r="C68" s="150">
        <v>1.4247999999999999E-2</v>
      </c>
      <c r="D68" s="150">
        <v>2.3086000000000002E-2</v>
      </c>
      <c r="E68" s="160">
        <f t="shared" si="48"/>
        <v>77050.924984915575</v>
      </c>
      <c r="F68" s="218">
        <f t="shared" si="29"/>
        <v>16969.628019570122</v>
      </c>
      <c r="G68" s="56">
        <f t="shared" si="30"/>
        <v>201056.54147438068</v>
      </c>
      <c r="H68" s="141">
        <f t="shared" si="31"/>
        <v>0.78943923750034495</v>
      </c>
      <c r="I68" s="219">
        <f t="shared" si="32"/>
        <v>0.74205815472596737</v>
      </c>
      <c r="J68" s="137">
        <f t="shared" si="33"/>
        <v>8.5959682575431575</v>
      </c>
      <c r="K68" s="220">
        <f t="shared" si="34"/>
        <v>1</v>
      </c>
      <c r="L68" s="221">
        <f t="shared" si="28"/>
        <v>45.96</v>
      </c>
      <c r="M68" s="221">
        <f t="shared" si="35"/>
        <v>43.2</v>
      </c>
      <c r="N68" s="137">
        <f t="shared" si="36"/>
        <v>5980.45</v>
      </c>
      <c r="O68" s="137">
        <f t="shared" si="37"/>
        <v>1336.844983413112</v>
      </c>
      <c r="P68" s="137">
        <f t="shared" si="38"/>
        <v>1.0740332123501921</v>
      </c>
      <c r="Q68" s="137">
        <f t="shared" si="39"/>
        <v>0.14719231549544953</v>
      </c>
      <c r="R68" s="137">
        <f t="shared" si="40"/>
        <v>22.24418152451382</v>
      </c>
      <c r="S68" s="137">
        <f t="shared" si="41"/>
        <v>4665.8491981114012</v>
      </c>
      <c r="T68" s="222">
        <f t="shared" si="42"/>
        <v>4744.9114157857448</v>
      </c>
      <c r="U68" s="223">
        <f t="shared" si="49"/>
        <v>2552.8650905023942</v>
      </c>
      <c r="V68" s="137">
        <f t="shared" si="50"/>
        <v>-80.518196036981593</v>
      </c>
      <c r="W68" s="224">
        <f t="shared" si="51"/>
        <v>10472.35</v>
      </c>
      <c r="X68" s="225">
        <f t="shared" si="43"/>
        <v>4432.5600000000004</v>
      </c>
      <c r="Y68" s="83">
        <f t="shared" si="44"/>
        <v>4507.67</v>
      </c>
      <c r="Z68" s="141">
        <f t="shared" si="45"/>
        <v>0.7748296282523911</v>
      </c>
      <c r="AA68" s="137">
        <f t="shared" si="46"/>
        <v>5660.2709100170941</v>
      </c>
      <c r="AB68" s="221">
        <f t="shared" si="47"/>
        <v>5782.6085772945635</v>
      </c>
      <c r="AC68" s="149"/>
      <c r="AD68" s="149"/>
      <c r="AG68" s="150">
        <v>2.6417E-2</v>
      </c>
      <c r="AH68" s="150">
        <v>1.2832E-2</v>
      </c>
      <c r="AJ68" s="150">
        <f t="shared" si="52"/>
        <v>0.7475562581874492</v>
      </c>
      <c r="AK68" s="141">
        <f t="shared" si="53"/>
        <v>3.2220996370505759E-3</v>
      </c>
      <c r="AL68" s="141">
        <f t="shared" si="54"/>
        <v>-1.33912032415491E-3</v>
      </c>
      <c r="AM68" s="141">
        <f t="shared" si="55"/>
        <v>4.4157694648634861E-4</v>
      </c>
      <c r="AN68" s="141">
        <f t="shared" si="56"/>
        <v>2.7805226905642274E-3</v>
      </c>
      <c r="AO68" s="1">
        <f t="shared" si="57"/>
        <v>8.5959682575431575</v>
      </c>
      <c r="AR68" s="1">
        <f t="shared" si="65"/>
        <v>373.10856893164714</v>
      </c>
      <c r="AS68" s="1">
        <f t="shared" si="58"/>
        <v>241.16925446048543</v>
      </c>
      <c r="AT68" t="e">
        <f>((AP$45*0.82)*#REF!-D67*500+AT67*1.0225/(1-D67))</f>
        <v>#REF!</v>
      </c>
      <c r="AU68" s="1">
        <f t="shared" si="59"/>
        <v>132.0340724358629</v>
      </c>
      <c r="AV68" s="1">
        <f t="shared" si="60"/>
        <v>130.31487878435428</v>
      </c>
      <c r="AW68" s="1">
        <f t="shared" si="61"/>
        <v>1.7191936515086184</v>
      </c>
      <c r="AX68" s="1">
        <f t="shared" si="66"/>
        <v>242.46475784106636</v>
      </c>
      <c r="AY68" s="137">
        <f t="shared" si="62"/>
        <v>1.6110498185252879</v>
      </c>
      <c r="AZ68" s="137">
        <f t="shared" si="63"/>
        <v>0.2207884732431743</v>
      </c>
      <c r="BA68" s="1">
        <f t="shared" si="64"/>
        <v>1.3902613452821138</v>
      </c>
    </row>
    <row r="69" spans="1:53">
      <c r="A69" s="156">
        <v>69</v>
      </c>
      <c r="B69" s="150">
        <v>3.1883000000000002E-2</v>
      </c>
      <c r="C69" s="150">
        <v>1.5918999999999999E-2</v>
      </c>
      <c r="D69" s="150">
        <v>2.5497400000000003E-2</v>
      </c>
      <c r="E69" s="160">
        <f t="shared" si="48"/>
        <v>75272.127330713804</v>
      </c>
      <c r="F69" s="218">
        <f t="shared" si="29"/>
        <v>16213.073043628679</v>
      </c>
      <c r="G69" s="56">
        <f t="shared" si="30"/>
        <v>184086.91345481056</v>
      </c>
      <c r="H69" s="141">
        <f t="shared" si="31"/>
        <v>0.80008545537000642</v>
      </c>
      <c r="I69" s="219">
        <f t="shared" si="32"/>
        <v>0.74772946920902128</v>
      </c>
      <c r="J69" s="137">
        <f t="shared" si="33"/>
        <v>8.1533032284908185</v>
      </c>
      <c r="K69" s="220">
        <f t="shared" si="34"/>
        <v>1</v>
      </c>
      <c r="L69" s="221">
        <f t="shared" si="28"/>
        <v>49.08</v>
      </c>
      <c r="M69" s="221">
        <f t="shared" si="35"/>
        <v>45.96</v>
      </c>
      <c r="N69" s="137">
        <f t="shared" si="36"/>
        <v>6068.35</v>
      </c>
      <c r="O69" s="137">
        <f t="shared" si="37"/>
        <v>1268.0017180948921</v>
      </c>
      <c r="P69" s="137">
        <f t="shared" si="38"/>
        <v>1.1241511122044228</v>
      </c>
      <c r="Q69" s="137">
        <f t="shared" si="39"/>
        <v>0.13976146408018483</v>
      </c>
      <c r="R69" s="137">
        <f t="shared" si="40"/>
        <v>23.625351554981709</v>
      </c>
      <c r="S69" s="137">
        <f t="shared" si="41"/>
        <v>4823.9736334600893</v>
      </c>
      <c r="T69" s="222">
        <f t="shared" si="42"/>
        <v>4902.8309205141904</v>
      </c>
      <c r="U69" s="223">
        <f t="shared" si="49"/>
        <v>2749.5966600688348</v>
      </c>
      <c r="V69" s="137">
        <f t="shared" si="50"/>
        <v>-82.93374191809103</v>
      </c>
      <c r="W69" s="224">
        <f t="shared" si="51"/>
        <v>10666.66</v>
      </c>
      <c r="X69" s="225">
        <f t="shared" si="43"/>
        <v>4582.7700000000004</v>
      </c>
      <c r="Y69" s="83">
        <f t="shared" si="44"/>
        <v>4657.6899999999996</v>
      </c>
      <c r="Z69" s="141">
        <f t="shared" si="45"/>
        <v>0.78421416305639113</v>
      </c>
      <c r="AA69" s="137">
        <f t="shared" si="46"/>
        <v>5781.8986384417449</v>
      </c>
      <c r="AB69" s="221">
        <f t="shared" si="47"/>
        <v>5904.2512665048516</v>
      </c>
      <c r="AC69" s="149"/>
      <c r="AD69" s="149"/>
      <c r="AG69" s="150">
        <v>2.8978E-2</v>
      </c>
      <c r="AH69" s="150">
        <v>1.4247999999999999E-2</v>
      </c>
      <c r="AJ69" s="150">
        <f t="shared" si="52"/>
        <v>0.75854374202836539</v>
      </c>
      <c r="AK69" s="141">
        <f t="shared" si="53"/>
        <v>3.3724533366132682E-3</v>
      </c>
      <c r="AL69" s="141">
        <f t="shared" si="54"/>
        <v>-1.8307399949723264E-3</v>
      </c>
      <c r="AM69" s="141">
        <f t="shared" si="55"/>
        <v>4.1928439224055451E-4</v>
      </c>
      <c r="AN69" s="141">
        <f t="shared" si="56"/>
        <v>2.9531689443727136E-3</v>
      </c>
      <c r="AO69" s="1">
        <f t="shared" si="57"/>
        <v>8.1533032284908185</v>
      </c>
      <c r="AR69" s="1">
        <f t="shared" si="65"/>
        <v>378.35650101669654</v>
      </c>
      <c r="AS69" s="1">
        <f t="shared" si="58"/>
        <v>253.21164165793834</v>
      </c>
      <c r="AT69" t="e">
        <f>((AP$45*0.82)*#REF!-D68*500+AT68*1.0225/(1-D68))</f>
        <v>#REF!</v>
      </c>
      <c r="AU69" s="1">
        <f t="shared" si="59"/>
        <v>125.23473758961897</v>
      </c>
      <c r="AV69" s="1">
        <f t="shared" si="60"/>
        <v>123.6040769439208</v>
      </c>
      <c r="AW69" s="1">
        <f t="shared" si="61"/>
        <v>1.6306606456981712</v>
      </c>
      <c r="AX69" s="1">
        <f t="shared" si="66"/>
        <v>254.5983478992639</v>
      </c>
      <c r="AY69" s="137">
        <f t="shared" si="62"/>
        <v>1.686226668306634</v>
      </c>
      <c r="AZ69" s="137">
        <f t="shared" si="63"/>
        <v>0.20964219612027726</v>
      </c>
      <c r="BA69" s="1">
        <f t="shared" si="64"/>
        <v>1.4765844721863568</v>
      </c>
    </row>
    <row r="70" spans="1:53">
      <c r="A70" s="156">
        <v>70</v>
      </c>
      <c r="B70" s="150">
        <v>3.5226E-2</v>
      </c>
      <c r="C70" s="150">
        <v>1.787E-2</v>
      </c>
      <c r="D70" s="150">
        <v>2.8283600000000006E-2</v>
      </c>
      <c r="E70" s="160">
        <f t="shared" si="48"/>
        <v>73352.883791311659</v>
      </c>
      <c r="F70" s="218">
        <f t="shared" si="29"/>
        <v>15452.011574578057</v>
      </c>
      <c r="G70" s="56">
        <f t="shared" si="30"/>
        <v>167873.84041118188</v>
      </c>
      <c r="H70" s="141">
        <f t="shared" si="31"/>
        <v>0.81063468375818248</v>
      </c>
      <c r="I70" s="219">
        <f t="shared" si="32"/>
        <v>0.75264605014193176</v>
      </c>
      <c r="J70" s="137">
        <f t="shared" si="33"/>
        <v>7.7097788186197356</v>
      </c>
      <c r="K70" s="220">
        <f t="shared" si="34"/>
        <v>1</v>
      </c>
      <c r="L70" s="221">
        <f t="shared" si="28"/>
        <v>52.56</v>
      </c>
      <c r="M70" s="221">
        <f t="shared" si="35"/>
        <v>48.84</v>
      </c>
      <c r="N70" s="137">
        <f t="shared" si="36"/>
        <v>6155.58</v>
      </c>
      <c r="O70" s="137">
        <f t="shared" si="37"/>
        <v>1199.0248018717414</v>
      </c>
      <c r="P70" s="137">
        <f t="shared" si="38"/>
        <v>1.1795191846887039</v>
      </c>
      <c r="Q70" s="137">
        <f t="shared" si="39"/>
        <v>0.13231045802065741</v>
      </c>
      <c r="R70" s="137">
        <f t="shared" si="40"/>
        <v>25.133009440033117</v>
      </c>
      <c r="S70" s="137">
        <f t="shared" si="41"/>
        <v>4981.6882075682915</v>
      </c>
      <c r="T70" s="222">
        <f t="shared" si="42"/>
        <v>5060.1401693132457</v>
      </c>
      <c r="U70" s="223">
        <f t="shared" si="49"/>
        <v>2956.3018809324972</v>
      </c>
      <c r="V70" s="137">
        <f t="shared" si="50"/>
        <v>-85.421754175633765</v>
      </c>
      <c r="W70" s="224">
        <f t="shared" si="51"/>
        <v>10870.88</v>
      </c>
      <c r="X70" s="225">
        <f t="shared" si="43"/>
        <v>4732.6000000000004</v>
      </c>
      <c r="Y70" s="83">
        <f t="shared" si="44"/>
        <v>4807.13</v>
      </c>
      <c r="Z70" s="141">
        <f t="shared" si="45"/>
        <v>0.79352695593132405</v>
      </c>
      <c r="AA70" s="137">
        <f t="shared" si="46"/>
        <v>5900.7043209172753</v>
      </c>
      <c r="AB70" s="221">
        <f t="shared" si="47"/>
        <v>6022.9860050247435</v>
      </c>
      <c r="AC70" s="149"/>
      <c r="AD70" s="149"/>
      <c r="AG70" s="150">
        <v>3.1883000000000002E-2</v>
      </c>
      <c r="AH70" s="150">
        <v>1.5918999999999999E-2</v>
      </c>
      <c r="AJ70" s="150">
        <f t="shared" si="52"/>
        <v>0.76944722987983694</v>
      </c>
      <c r="AK70" s="141">
        <f t="shared" si="53"/>
        <v>3.5385575540661119E-3</v>
      </c>
      <c r="AL70" s="141">
        <f t="shared" si="54"/>
        <v>-2.3511036757205201E-3</v>
      </c>
      <c r="AM70" s="141">
        <f t="shared" si="55"/>
        <v>3.9693137406197226E-4</v>
      </c>
      <c r="AN70" s="141">
        <f t="shared" si="56"/>
        <v>3.1416261800041399E-3</v>
      </c>
      <c r="AO70" s="1">
        <f t="shared" si="57"/>
        <v>7.7097788186197356</v>
      </c>
      <c r="AR70" s="1">
        <f t="shared" si="65"/>
        <v>383.54806310205817</v>
      </c>
      <c r="AS70" s="1">
        <f t="shared" si="58"/>
        <v>265.21084947166412</v>
      </c>
      <c r="AT70" t="e">
        <f>((AP$45*0.82)*#REF!-D69*500+AT69*1.0225/(1-D69))</f>
        <v>#REF!</v>
      </c>
      <c r="AU70" s="1">
        <f t="shared" si="59"/>
        <v>118.42220265399914</v>
      </c>
      <c r="AV70" s="1">
        <f t="shared" si="60"/>
        <v>116.88024689027519</v>
      </c>
      <c r="AW70" s="1">
        <f t="shared" si="61"/>
        <v>1.5419557637239478</v>
      </c>
      <c r="AX70" s="1">
        <f t="shared" si="66"/>
        <v>266.69667353806108</v>
      </c>
      <c r="AY70" s="137">
        <f t="shared" si="62"/>
        <v>1.769278777033056</v>
      </c>
      <c r="AZ70" s="137">
        <f t="shared" si="63"/>
        <v>0.19846568703098613</v>
      </c>
      <c r="BA70" s="1">
        <f t="shared" si="64"/>
        <v>1.5708130900020698</v>
      </c>
    </row>
    <row r="71" spans="1:53">
      <c r="A71" s="156">
        <v>71</v>
      </c>
      <c r="B71" s="150">
        <v>3.8898999999999996E-2</v>
      </c>
      <c r="C71" s="150">
        <v>2.01E-2</v>
      </c>
      <c r="D71" s="150">
        <v>3.1379400000000002E-2</v>
      </c>
      <c r="E71" s="160">
        <f t="shared" si="48"/>
        <v>71278.200167311719</v>
      </c>
      <c r="F71" s="218">
        <f t="shared" si="29"/>
        <v>14684.57022983601</v>
      </c>
      <c r="G71" s="56">
        <f t="shared" si="30"/>
        <v>152421.82883660382</v>
      </c>
      <c r="H71" s="141">
        <f t="shared" si="31"/>
        <v>0.82104549702730178</v>
      </c>
      <c r="I71" s="219">
        <f t="shared" si="32"/>
        <v>0.75676583787291596</v>
      </c>
      <c r="J71" s="137">
        <f t="shared" si="33"/>
        <v>7.2660711993444584</v>
      </c>
      <c r="K71" s="220">
        <f t="shared" si="34"/>
        <v>0</v>
      </c>
      <c r="L71" s="221">
        <f t="shared" si="28"/>
        <v>0</v>
      </c>
      <c r="M71" s="221">
        <f t="shared" si="35"/>
        <v>0</v>
      </c>
      <c r="N71" s="137">
        <f t="shared" si="36"/>
        <v>6241.82</v>
      </c>
      <c r="O71" s="137">
        <f t="shared" si="37"/>
        <v>1130.0193929220502</v>
      </c>
      <c r="P71" s="137">
        <f t="shared" si="38"/>
        <v>1.2411629219638567</v>
      </c>
      <c r="Q71" s="137">
        <f t="shared" si="39"/>
        <v>0.12484942278678707</v>
      </c>
      <c r="R71" s="137">
        <f t="shared" si="40"/>
        <v>26.791523980249671</v>
      </c>
      <c r="S71" s="137">
        <f t="shared" si="41"/>
        <v>5138.5921310581989</v>
      </c>
      <c r="T71" s="222">
        <f t="shared" si="42"/>
        <v>5216.6142845396753</v>
      </c>
      <c r="U71" s="223">
        <f t="shared" si="49"/>
        <v>3173.2694087053555</v>
      </c>
      <c r="V71" s="137">
        <f t="shared" si="50"/>
        <v>-87.984406800902789</v>
      </c>
      <c r="W71" s="224">
        <f t="shared" si="51"/>
        <v>11085.29</v>
      </c>
      <c r="X71" s="225">
        <f t="shared" si="43"/>
        <v>4881.66</v>
      </c>
      <c r="Y71" s="83">
        <f t="shared" si="44"/>
        <v>4955.78</v>
      </c>
      <c r="Z71" s="141">
        <f t="shared" si="45"/>
        <v>0.80273443202129546</v>
      </c>
      <c r="AA71" s="137">
        <f t="shared" si="46"/>
        <v>6016.589841602452</v>
      </c>
      <c r="AB71" s="221">
        <f t="shared" si="47"/>
        <v>6138.868866950228</v>
      </c>
      <c r="AC71" s="149"/>
      <c r="AD71" s="149"/>
      <c r="AG71" s="150">
        <v>3.5226E-2</v>
      </c>
      <c r="AH71" s="150">
        <v>1.787E-2</v>
      </c>
    </row>
    <row r="72" spans="1:53">
      <c r="A72" s="156">
        <v>72</v>
      </c>
      <c r="B72" s="150">
        <v>4.3115000000000001E-2</v>
      </c>
      <c r="C72" s="150">
        <v>2.2578999999999998E-2</v>
      </c>
      <c r="D72" s="150">
        <v>3.4900600000000004E-2</v>
      </c>
      <c r="E72" s="160">
        <f t="shared" si="48"/>
        <v>69041.53301298157</v>
      </c>
      <c r="F72" s="218">
        <f t="shared" si="29"/>
        <v>13910.784573854175</v>
      </c>
      <c r="G72" s="56">
        <f t="shared" si="30"/>
        <v>137737.25860676781</v>
      </c>
      <c r="H72" s="141">
        <f t="shared" si="31"/>
        <v>0.83129985585472466</v>
      </c>
      <c r="I72" s="219">
        <f t="shared" si="32"/>
        <v>0.75997584413496333</v>
      </c>
      <c r="J72" s="137">
        <f t="shared" si="33"/>
        <v>6.8218973979158699</v>
      </c>
      <c r="K72" s="220">
        <f t="shared" si="34"/>
        <v>0</v>
      </c>
      <c r="L72" s="221">
        <f t="shared" si="28"/>
        <v>0</v>
      </c>
      <c r="M72" s="221">
        <f t="shared" si="35"/>
        <v>0</v>
      </c>
      <c r="N72" s="137">
        <f t="shared" si="36"/>
        <v>6326.95</v>
      </c>
      <c r="O72" s="137">
        <f t="shared" si="37"/>
        <v>1060.9414833238761</v>
      </c>
      <c r="P72" s="137">
        <f t="shared" si="38"/>
        <v>1.310202454612305</v>
      </c>
      <c r="Q72" s="137">
        <f t="shared" si="39"/>
        <v>0.11737239856949387</v>
      </c>
      <c r="R72" s="137">
        <f t="shared" si="40"/>
        <v>28.627921345027467</v>
      </c>
      <c r="S72" s="137">
        <f t="shared" si="41"/>
        <v>5294.6364380211508</v>
      </c>
      <c r="T72" s="222">
        <f t="shared" si="42"/>
        <v>5372.1161821788201</v>
      </c>
      <c r="U72" s="223">
        <f t="shared" si="49"/>
        <v>3400.7862383412648</v>
      </c>
      <c r="V72" s="137">
        <f t="shared" si="50"/>
        <v>-90.623939004929866</v>
      </c>
      <c r="W72" s="224">
        <f t="shared" si="51"/>
        <v>11310.16</v>
      </c>
      <c r="X72" s="225">
        <f t="shared" si="43"/>
        <v>5029.8999999999996</v>
      </c>
      <c r="Y72" s="83">
        <f t="shared" si="44"/>
        <v>5103.51</v>
      </c>
      <c r="Z72" s="141">
        <f t="shared" si="45"/>
        <v>0.81182359402822224</v>
      </c>
      <c r="AA72" s="137">
        <f t="shared" si="46"/>
        <v>6129.7373837866189</v>
      </c>
      <c r="AB72" s="221">
        <f t="shared" si="47"/>
        <v>6252.0398107748306</v>
      </c>
      <c r="AC72" s="149"/>
      <c r="AD72" s="149"/>
      <c r="AG72" s="150">
        <v>3.8898999999999996E-2</v>
      </c>
      <c r="AH72" s="150">
        <v>2.01E-2</v>
      </c>
    </row>
    <row r="73" spans="1:53">
      <c r="A73" s="156">
        <v>73</v>
      </c>
      <c r="B73" s="150">
        <v>4.7742E-2</v>
      </c>
      <c r="C73" s="150">
        <v>2.5506999999999998E-2</v>
      </c>
      <c r="D73" s="150">
        <v>3.8848000000000001E-2</v>
      </c>
      <c r="E73" s="160">
        <f t="shared" si="48"/>
        <v>66631.942085908697</v>
      </c>
      <c r="F73" s="218">
        <f t="shared" si="29"/>
        <v>13129.86781981019</v>
      </c>
      <c r="G73" s="56">
        <f t="shared" si="30"/>
        <v>123826.47403291364</v>
      </c>
      <c r="H73" s="141">
        <f t="shared" si="31"/>
        <v>0.84136183890779659</v>
      </c>
      <c r="I73" s="219">
        <f t="shared" si="32"/>
        <v>0.76226367876250267</v>
      </c>
      <c r="J73" s="137">
        <f t="shared" si="33"/>
        <v>6.377328090340721</v>
      </c>
      <c r="K73" s="220">
        <f t="shared" si="34"/>
        <v>0</v>
      </c>
      <c r="L73" s="221">
        <f t="shared" si="28"/>
        <v>0</v>
      </c>
      <c r="M73" s="221">
        <f t="shared" si="35"/>
        <v>0</v>
      </c>
      <c r="N73" s="137">
        <f t="shared" si="36"/>
        <v>6410.72</v>
      </c>
      <c r="O73" s="137">
        <f t="shared" si="37"/>
        <v>991.802064609789</v>
      </c>
      <c r="P73" s="137">
        <f t="shared" si="38"/>
        <v>1.3881285283578892</v>
      </c>
      <c r="Q73" s="137">
        <f t="shared" si="39"/>
        <v>0.109878905596294</v>
      </c>
      <c r="R73" s="137">
        <f t="shared" si="40"/>
        <v>30.677990946278285</v>
      </c>
      <c r="S73" s="137">
        <f t="shared" si="41"/>
        <v>5449.5959263364894</v>
      </c>
      <c r="T73" s="222">
        <f t="shared" si="42"/>
        <v>5526.4998354165846</v>
      </c>
      <c r="U73" s="223">
        <f t="shared" si="49"/>
        <v>3639.1467137705476</v>
      </c>
      <c r="V73" s="137">
        <f t="shared" si="50"/>
        <v>-93.342657175077761</v>
      </c>
      <c r="W73" s="224">
        <f t="shared" si="51"/>
        <v>11545.8</v>
      </c>
      <c r="X73" s="225">
        <f t="shared" si="43"/>
        <v>5177.12</v>
      </c>
      <c r="Y73" s="83">
        <f t="shared" si="44"/>
        <v>5250.17</v>
      </c>
      <c r="Z73" s="141">
        <f t="shared" si="45"/>
        <v>0.82076677790273012</v>
      </c>
      <c r="AA73" s="137">
        <f t="shared" si="46"/>
        <v>6240.2568392265393</v>
      </c>
      <c r="AB73" s="221">
        <f t="shared" si="47"/>
        <v>6362.6413884420945</v>
      </c>
      <c r="AC73" s="149"/>
      <c r="AD73" s="149"/>
      <c r="AG73" s="150">
        <v>4.3115000000000001E-2</v>
      </c>
      <c r="AH73" s="150">
        <v>2.2578999999999998E-2</v>
      </c>
    </row>
    <row r="74" spans="1:53">
      <c r="A74" s="156">
        <v>74</v>
      </c>
      <c r="B74" s="150">
        <v>5.2774999999999996E-2</v>
      </c>
      <c r="C74" s="150">
        <v>2.8840999999999999E-2</v>
      </c>
      <c r="D74" s="150">
        <v>4.3201400000000001E-2</v>
      </c>
      <c r="E74" s="160">
        <f t="shared" si="48"/>
        <v>64043.424399755313</v>
      </c>
      <c r="F74" s="218">
        <f t="shared" ref="F74:F105" si="67">+E74*V^($A74)</f>
        <v>12342.101432514623</v>
      </c>
      <c r="G74" s="56">
        <f t="shared" ref="G74:G105" si="68">+G75+F74</f>
        <v>110696.60621310346</v>
      </c>
      <c r="H74" s="141">
        <f t="shared" ref="H74:H105" si="69">(V*Nx-G75)/Dx*SQRT(1+$E$1)+$L$3+$L$2*N_END/Dx+(1-$L$1)*$L$4*(Nx-$H$7)/Dx</f>
        <v>0.85120431145092568</v>
      </c>
      <c r="I74" s="219">
        <f t="shared" ref="I74:I105" si="70">((F75*D75/3+F76*D76*2/3)*SQRT($E$2)+(V*G77-G78)*SQRT(1+$E$1))/Dx+$L$3+$L$2*N_END/Dx+(1-$L$1)*$L$4*(Nx-$H$7)/Dx</f>
        <v>0.76357351108448512</v>
      </c>
      <c r="J74" s="137">
        <f t="shared" ref="J74:J109" si="71">IF(x&gt;X_END,0,(1-$L$1)*((Nx-N_END)/Dx-$E$3*(1-(D_END/Dx))))</f>
        <v>5.931849021937623</v>
      </c>
      <c r="K74" s="220">
        <f t="shared" ref="K74:K109" si="72">IF(OR(x&gt;MIN(70,X_END-10),x&lt;18),0,1)</f>
        <v>0</v>
      </c>
      <c r="L74" s="221">
        <f t="shared" si="28"/>
        <v>0</v>
      </c>
      <c r="M74" s="221">
        <f t="shared" ref="M74:M105" si="73">K74*ROUND(I74*500/(J74-D74/2*SQRT($E$2))/12,2)*12</f>
        <v>0</v>
      </c>
      <c r="N74" s="137">
        <f t="shared" ref="N74:N97" si="74">ROUND(VS*((V*Nx-G75)/Dx*SQRT(1+$E$1)+IF(x&gt;MIN(X_END,65),0,(1-$L$1)*$L$4*(Nx-$H$7)/Dx)),2)</f>
        <v>6492.94</v>
      </c>
      <c r="O74" s="137">
        <f t="shared" ref="O74:O105" si="75">+J74*JBeitr</f>
        <v>922.52115989173922</v>
      </c>
      <c r="P74" s="137">
        <f t="shared" ref="P74:P105" si="76">IF(OR(x&gt;X_END,JBeitr=0),Nx/Dx,+N_END/Dx)</f>
        <v>1.4767294041378907</v>
      </c>
      <c r="Q74" s="137">
        <f t="shared" ref="Q74:Q105" si="77">IF(OR(x&gt;X_END,JBeitr=0),0,((N_END/(N_EIN-N_END)*(Nx-N_END)/Dx)))</f>
        <v>0.10235838795377125</v>
      </c>
      <c r="R74" s="137">
        <f t="shared" ref="R74:R105" si="78">+VS*$L$2*(P74-Q74)</f>
        <v>32.984904388418869</v>
      </c>
      <c r="S74" s="137">
        <f t="shared" ref="S74:S105" si="79">IF(x&lt;X_EIN,0,N74-O74+R74)</f>
        <v>5603.4037444966789</v>
      </c>
      <c r="T74" s="222">
        <f t="shared" ref="T74:T105" si="80">IF(S75=0,0,MAX(0,((12-$S$6)*S74+$S$6*S75)/12))</f>
        <v>5679.8220581056885</v>
      </c>
      <c r="U74" s="223">
        <f t="shared" si="49"/>
        <v>3888.648210286829</v>
      </c>
      <c r="V74" s="137">
        <f t="shared" si="50"/>
        <v>-96.142936890330077</v>
      </c>
      <c r="W74" s="224">
        <f t="shared" si="51"/>
        <v>11792.51</v>
      </c>
      <c r="X74" s="225">
        <f t="shared" ref="X74:X110" si="81">ROUND(MAX(0,0.95*S74),2)</f>
        <v>5323.23</v>
      </c>
      <c r="Y74" s="83">
        <f t="shared" ref="Y74:Y110" si="82">ROUND(MAX(0,0.95*T74),2)</f>
        <v>5395.83</v>
      </c>
      <c r="Z74" s="141">
        <f t="shared" ref="Z74:Z110" si="83">((V*Nx-G75)+$L$2*Nx)/Dx</f>
        <v>0.82954468222044209</v>
      </c>
      <c r="AA74" s="137">
        <f t="shared" ref="AA74:AA100" si="84">IF(OR(x&gt;=X_END,AND(x&gt;=X_EIN,JBeitr=0)),VS,X74/((((V*Nx-G75)-IF(Tarif="F",0,(V*N_END-$H$7)))*SQRT(1+$E$1)+IF(Tarif="F",0,D_END))/Dx+$L$2*(Nx-IF(Tarif="F",0,N_END))/Dx))</f>
        <v>6348.3325394320964</v>
      </c>
      <c r="AB74" s="221">
        <f t="shared" ref="AB74:AB100" si="85">IF(OR(AND(AA74=0,AA75=0),AND(Tarif="G",x&gt;X_END)),0,IF(x&gt;=X_END,VS,+Y74*12/((12-$S$6)*Z74+$S$6*Z75)))</f>
        <v>6471.0054716188306</v>
      </c>
      <c r="AC74" s="149"/>
      <c r="AD74" s="149"/>
      <c r="AG74" s="150">
        <v>4.7742E-2</v>
      </c>
      <c r="AH74" s="150">
        <v>2.5506999999999998E-2</v>
      </c>
    </row>
    <row r="75" spans="1:53">
      <c r="A75" s="156">
        <v>75</v>
      </c>
      <c r="B75" s="150">
        <v>5.8231999999999999E-2</v>
      </c>
      <c r="C75" s="150">
        <v>3.2554E-2</v>
      </c>
      <c r="D75" s="150">
        <v>4.7960800000000005E-2</v>
      </c>
      <c r="E75" s="160">
        <f t="shared" ref="E75:E106" si="86">+E74*(1-D74)</f>
        <v>61276.658804891718</v>
      </c>
      <c r="F75" s="218">
        <f t="shared" si="67"/>
        <v>11549.051708252309</v>
      </c>
      <c r="G75" s="56">
        <f t="shared" si="68"/>
        <v>98354.504780588832</v>
      </c>
      <c r="H75" s="141">
        <f t="shared" si="69"/>
        <v>0.86081273030424965</v>
      </c>
      <c r="I75" s="219">
        <f t="shared" si="70"/>
        <v>0.76382504132849227</v>
      </c>
      <c r="J75" s="137">
        <f t="shared" si="71"/>
        <v>5.4841816955514124</v>
      </c>
      <c r="K75" s="220">
        <f t="shared" si="72"/>
        <v>0</v>
      </c>
      <c r="L75" s="221">
        <f t="shared" si="28"/>
        <v>0</v>
      </c>
      <c r="M75" s="221">
        <f t="shared" si="73"/>
        <v>0</v>
      </c>
      <c r="N75" s="137">
        <f t="shared" si="74"/>
        <v>6573.54</v>
      </c>
      <c r="O75" s="137">
        <f t="shared" si="75"/>
        <v>852.89993729215576</v>
      </c>
      <c r="P75" s="137">
        <f t="shared" si="76"/>
        <v>1.5781333874558274</v>
      </c>
      <c r="Q75" s="137">
        <f t="shared" si="77"/>
        <v>9.4787178836866617E-2</v>
      </c>
      <c r="R75" s="137">
        <f t="shared" si="78"/>
        <v>35.600309006855056</v>
      </c>
      <c r="S75" s="137">
        <f t="shared" si="79"/>
        <v>5756.240371714699</v>
      </c>
      <c r="T75" s="222">
        <f t="shared" si="80"/>
        <v>5832.3582570092258</v>
      </c>
      <c r="U75" s="223">
        <f t="shared" ref="U75:U110" si="87">(U74+MAX(0,+Über*S74))*(1+Zins)</f>
        <v>4149.5953030162236</v>
      </c>
      <c r="V75" s="137">
        <f t="shared" ref="V75:V110" si="88">IF(x&lt;Alter,0,$V$6)*(1+Zins)^(x-Alter)</f>
        <v>-99.027224997039994</v>
      </c>
      <c r="W75" s="224">
        <f t="shared" ref="W75:W106" si="89">IF(x&lt;X_EIN,0,ROUND(VS+V75+U75,2))</f>
        <v>12050.57</v>
      </c>
      <c r="X75" s="225">
        <f t="shared" si="81"/>
        <v>5468.43</v>
      </c>
      <c r="Y75" s="83">
        <f t="shared" si="82"/>
        <v>5540.74</v>
      </c>
      <c r="Z75" s="141">
        <f t="shared" si="83"/>
        <v>0.83814978154274244</v>
      </c>
      <c r="AA75" s="137">
        <f t="shared" si="84"/>
        <v>6454.3996229072391</v>
      </c>
      <c r="AB75" s="221">
        <f t="shared" si="85"/>
        <v>6577.5905487687751</v>
      </c>
      <c r="AC75" s="149"/>
      <c r="AD75" s="149"/>
      <c r="AG75" s="150">
        <v>5.2774999999999996E-2</v>
      </c>
      <c r="AH75" s="150">
        <v>2.8840999999999999E-2</v>
      </c>
    </row>
    <row r="76" spans="1:53">
      <c r="A76" s="156">
        <v>76</v>
      </c>
      <c r="B76" s="150">
        <v>6.4308999999999991E-2</v>
      </c>
      <c r="C76" s="150">
        <v>3.6880999999999997E-2</v>
      </c>
      <c r="D76" s="150">
        <v>5.3337799999999998E-2</v>
      </c>
      <c r="E76" s="160">
        <f t="shared" si="86"/>
        <v>58337.781227282067</v>
      </c>
      <c r="F76" s="218">
        <f t="shared" si="67"/>
        <v>10753.202884188911</v>
      </c>
      <c r="G76" s="56">
        <f t="shared" si="68"/>
        <v>86805.453072336517</v>
      </c>
      <c r="H76" s="141">
        <f t="shared" si="69"/>
        <v>0.8701805577797791</v>
      </c>
      <c r="I76" s="219">
        <f t="shared" si="70"/>
        <v>0.76282617813777798</v>
      </c>
      <c r="J76" s="137">
        <f t="shared" si="71"/>
        <v>5.0323502458694129</v>
      </c>
      <c r="K76" s="220">
        <f t="shared" si="72"/>
        <v>0</v>
      </c>
      <c r="L76" s="221">
        <f t="shared" si="28"/>
        <v>0</v>
      </c>
      <c r="M76" s="221">
        <f t="shared" si="73"/>
        <v>0</v>
      </c>
      <c r="N76" s="137">
        <f t="shared" si="74"/>
        <v>6652.52</v>
      </c>
      <c r="O76" s="137">
        <f t="shared" si="75"/>
        <v>782.6311102376111</v>
      </c>
      <c r="P76" s="137">
        <f t="shared" si="76"/>
        <v>1.6949316673867878</v>
      </c>
      <c r="Q76" s="137">
        <f t="shared" si="77"/>
        <v>8.712947816332417E-2</v>
      </c>
      <c r="R76" s="137">
        <f t="shared" si="78"/>
        <v>38.587252541363128</v>
      </c>
      <c r="S76" s="137">
        <f t="shared" si="79"/>
        <v>5908.4761423037526</v>
      </c>
      <c r="T76" s="222">
        <f t="shared" si="80"/>
        <v>5984.3631637283897</v>
      </c>
      <c r="U76" s="223">
        <f t="shared" si="87"/>
        <v>4422.3063516783641</v>
      </c>
      <c r="V76" s="137">
        <f t="shared" si="88"/>
        <v>-101.99804174695119</v>
      </c>
      <c r="W76" s="224">
        <f t="shared" si="89"/>
        <v>12320.31</v>
      </c>
      <c r="X76" s="225">
        <f t="shared" si="81"/>
        <v>5613.05</v>
      </c>
      <c r="Y76" s="83">
        <f t="shared" si="82"/>
        <v>5685.15</v>
      </c>
      <c r="Z76" s="141">
        <f t="shared" si="83"/>
        <v>0.84658263192046501</v>
      </c>
      <c r="AA76" s="137">
        <f t="shared" si="84"/>
        <v>6558.9658466214059</v>
      </c>
      <c r="AB76" s="221">
        <f t="shared" si="85"/>
        <v>6682.8992688638773</v>
      </c>
      <c r="AC76" s="149"/>
      <c r="AD76" s="149"/>
      <c r="AG76" s="150">
        <v>5.8231999999999999E-2</v>
      </c>
      <c r="AH76" s="150">
        <v>3.2554E-2</v>
      </c>
    </row>
    <row r="77" spans="1:53">
      <c r="A77" s="156">
        <v>77</v>
      </c>
      <c r="B77" s="150">
        <v>7.0702000000000001E-2</v>
      </c>
      <c r="C77" s="150">
        <v>4.1886E-2</v>
      </c>
      <c r="D77" s="150">
        <v>5.9175600000000009E-2</v>
      </c>
      <c r="E77" s="160">
        <f t="shared" si="86"/>
        <v>55226.17231973754</v>
      </c>
      <c r="F77" s="218">
        <f t="shared" si="67"/>
        <v>9955.6486057629536</v>
      </c>
      <c r="G77" s="56">
        <f t="shared" si="68"/>
        <v>76052.250188147606</v>
      </c>
      <c r="H77" s="141">
        <f t="shared" si="69"/>
        <v>0.87927073766783992</v>
      </c>
      <c r="I77" s="219">
        <f t="shared" si="70"/>
        <v>0.76048403902659811</v>
      </c>
      <c r="J77" s="137">
        <f t="shared" si="71"/>
        <v>4.5746686668037198</v>
      </c>
      <c r="K77" s="220">
        <f t="shared" si="72"/>
        <v>0</v>
      </c>
      <c r="L77" s="221">
        <f t="shared" si="28"/>
        <v>0</v>
      </c>
      <c r="M77" s="221">
        <f t="shared" si="73"/>
        <v>0</v>
      </c>
      <c r="N77" s="137">
        <f t="shared" si="74"/>
        <v>6729.67</v>
      </c>
      <c r="O77" s="137">
        <f t="shared" si="75"/>
        <v>711.45247106131455</v>
      </c>
      <c r="P77" s="137">
        <f t="shared" si="76"/>
        <v>1.8307138807306242</v>
      </c>
      <c r="Q77" s="137">
        <f t="shared" si="77"/>
        <v>7.9353205133078614E-2</v>
      </c>
      <c r="R77" s="137">
        <f t="shared" si="78"/>
        <v>42.032656214341095</v>
      </c>
      <c r="S77" s="137">
        <f t="shared" si="79"/>
        <v>6060.250185153026</v>
      </c>
      <c r="T77" s="222">
        <f t="shared" si="80"/>
        <v>6136.2797447381554</v>
      </c>
      <c r="U77" s="223">
        <f t="shared" si="87"/>
        <v>4707.1188028930374</v>
      </c>
      <c r="V77" s="137">
        <f t="shared" si="88"/>
        <v>-105.05798299935971</v>
      </c>
      <c r="W77" s="224">
        <f t="shared" si="89"/>
        <v>12602.06</v>
      </c>
      <c r="X77" s="225">
        <f t="shared" si="81"/>
        <v>5757.24</v>
      </c>
      <c r="Y77" s="83">
        <f t="shared" si="82"/>
        <v>5829.47</v>
      </c>
      <c r="Z77" s="141">
        <f t="shared" si="83"/>
        <v>0.85481964014056511</v>
      </c>
      <c r="AA77" s="137">
        <f t="shared" si="84"/>
        <v>6662.4968950946486</v>
      </c>
      <c r="AB77" s="221">
        <f t="shared" si="85"/>
        <v>6787.5672793122276</v>
      </c>
      <c r="AC77" s="149"/>
      <c r="AD77" s="149"/>
      <c r="AG77" s="150">
        <v>6.4308999999999991E-2</v>
      </c>
      <c r="AH77" s="150">
        <v>3.6880999999999997E-2</v>
      </c>
    </row>
    <row r="78" spans="1:53">
      <c r="A78" s="156">
        <v>78</v>
      </c>
      <c r="B78" s="150">
        <v>7.7889E-2</v>
      </c>
      <c r="C78" s="150">
        <v>4.7743000000000001E-2</v>
      </c>
      <c r="D78" s="150">
        <v>6.5830600000000017E-2</v>
      </c>
      <c r="E78" s="160">
        <f t="shared" si="86"/>
        <v>51958.130437013679</v>
      </c>
      <c r="F78" s="218">
        <f t="shared" si="67"/>
        <v>9160.4079473132206</v>
      </c>
      <c r="G78" s="56">
        <f t="shared" si="68"/>
        <v>66096.601582384654</v>
      </c>
      <c r="H78" s="141">
        <f t="shared" si="69"/>
        <v>0.88808332131544332</v>
      </c>
      <c r="I78" s="219">
        <f t="shared" si="70"/>
        <v>0.75639303887106502</v>
      </c>
      <c r="J78" s="137">
        <f t="shared" si="71"/>
        <v>4.1075660535364538</v>
      </c>
      <c r="K78" s="220">
        <f t="shared" si="72"/>
        <v>0</v>
      </c>
      <c r="L78" s="221">
        <f t="shared" si="28"/>
        <v>0</v>
      </c>
      <c r="M78" s="221">
        <f t="shared" si="73"/>
        <v>0</v>
      </c>
      <c r="N78" s="137">
        <f t="shared" si="74"/>
        <v>6805.08</v>
      </c>
      <c r="O78" s="137">
        <f t="shared" si="75"/>
        <v>638.8086726459893</v>
      </c>
      <c r="P78" s="137">
        <f t="shared" si="76"/>
        <v>1.9896432777966464</v>
      </c>
      <c r="Q78" s="137">
        <f t="shared" si="77"/>
        <v>7.1394237410196182E-2</v>
      </c>
      <c r="R78" s="137">
        <f t="shared" si="78"/>
        <v>46.037976969274808</v>
      </c>
      <c r="S78" s="137">
        <f t="shared" si="79"/>
        <v>6212.3093043232848</v>
      </c>
      <c r="T78" s="222">
        <f t="shared" si="80"/>
        <v>6288.6742766993812</v>
      </c>
      <c r="U78" s="223">
        <f t="shared" si="87"/>
        <v>5004.3838092475189</v>
      </c>
      <c r="V78" s="137">
        <f t="shared" si="88"/>
        <v>-108.20972248934051</v>
      </c>
      <c r="W78" s="224">
        <f t="shared" si="89"/>
        <v>12896.17</v>
      </c>
      <c r="X78" s="225">
        <f t="shared" si="81"/>
        <v>5901.69</v>
      </c>
      <c r="Y78" s="83">
        <f t="shared" si="82"/>
        <v>5974.24</v>
      </c>
      <c r="Z78" s="141">
        <f t="shared" si="83"/>
        <v>0.8628708843475219</v>
      </c>
      <c r="AA78" s="137">
        <f t="shared" si="84"/>
        <v>6765.8049655416171</v>
      </c>
      <c r="AB78" s="221">
        <f t="shared" si="85"/>
        <v>6892.3833628305156</v>
      </c>
      <c r="AC78" s="149"/>
      <c r="AD78" s="149"/>
      <c r="AG78" s="150">
        <v>7.0702000000000001E-2</v>
      </c>
      <c r="AH78" s="150">
        <v>4.1886E-2</v>
      </c>
    </row>
    <row r="79" spans="1:53">
      <c r="A79" s="156">
        <v>79</v>
      </c>
      <c r="B79" s="150">
        <v>8.5973999999999995E-2</v>
      </c>
      <c r="C79" s="150">
        <v>5.4459E-2</v>
      </c>
      <c r="D79" s="150">
        <v>7.3368000000000003E-2</v>
      </c>
      <c r="E79" s="160">
        <f t="shared" si="86"/>
        <v>48537.69553546681</v>
      </c>
      <c r="F79" s="218">
        <f t="shared" si="67"/>
        <v>8369.0687490433502</v>
      </c>
      <c r="G79" s="56">
        <f t="shared" si="68"/>
        <v>56936.193635071439</v>
      </c>
      <c r="H79" s="141">
        <f t="shared" si="69"/>
        <v>0.89656723119041259</v>
      </c>
      <c r="I79" s="219">
        <f t="shared" si="70"/>
        <v>0.75035126353603565</v>
      </c>
      <c r="J79" s="137">
        <f t="shared" si="71"/>
        <v>3.6277697150677635</v>
      </c>
      <c r="K79" s="220">
        <f t="shared" si="72"/>
        <v>0</v>
      </c>
      <c r="L79" s="221">
        <f t="shared" si="28"/>
        <v>0</v>
      </c>
      <c r="M79" s="221">
        <f t="shared" si="73"/>
        <v>0</v>
      </c>
      <c r="N79" s="137">
        <f t="shared" si="74"/>
        <v>6878.48</v>
      </c>
      <c r="O79" s="137">
        <f t="shared" si="75"/>
        <v>564.19074608733865</v>
      </c>
      <c r="P79" s="137">
        <f t="shared" si="76"/>
        <v>2.177774450273227</v>
      </c>
      <c r="Q79" s="137">
        <f t="shared" si="77"/>
        <v>6.3191318489192752E-2</v>
      </c>
      <c r="R79" s="137">
        <f t="shared" si="78"/>
        <v>50.74999516281683</v>
      </c>
      <c r="S79" s="137">
        <f t="shared" si="79"/>
        <v>6365.0392490754775</v>
      </c>
      <c r="T79" s="222">
        <f t="shared" si="80"/>
        <v>6442.0883762015283</v>
      </c>
      <c r="U79" s="223">
        <f t="shared" si="87"/>
        <v>5314.4822881112686</v>
      </c>
      <c r="V79" s="137">
        <f t="shared" si="88"/>
        <v>-111.45601416402073</v>
      </c>
      <c r="W79" s="224">
        <f t="shared" si="89"/>
        <v>13203.03</v>
      </c>
      <c r="X79" s="225">
        <f t="shared" si="81"/>
        <v>6046.79</v>
      </c>
      <c r="Y79" s="83">
        <f t="shared" si="82"/>
        <v>6119.98</v>
      </c>
      <c r="Z79" s="141">
        <f t="shared" si="83"/>
        <v>0.87070651130870014</v>
      </c>
      <c r="AA79" s="137">
        <f t="shared" si="84"/>
        <v>6869.6415626630142</v>
      </c>
      <c r="AB79" s="221">
        <f t="shared" si="85"/>
        <v>6998.2313963768993</v>
      </c>
      <c r="AC79" s="149"/>
      <c r="AD79" s="149"/>
      <c r="AG79" s="150">
        <v>7.7889E-2</v>
      </c>
      <c r="AH79" s="150">
        <v>4.7743000000000001E-2</v>
      </c>
    </row>
    <row r="80" spans="1:53">
      <c r="A80" s="156">
        <v>80</v>
      </c>
      <c r="B80" s="150">
        <v>9.5223999999999989E-2</v>
      </c>
      <c r="C80" s="150">
        <v>6.2304999999999999E-2</v>
      </c>
      <c r="D80" s="150">
        <v>8.2056400000000002E-2</v>
      </c>
      <c r="E80" s="160">
        <f t="shared" si="86"/>
        <v>44976.581889420682</v>
      </c>
      <c r="F80" s="218">
        <f t="shared" si="67"/>
        <v>7584.3979589863457</v>
      </c>
      <c r="G80" s="56">
        <f t="shared" si="68"/>
        <v>48567.12488602809</v>
      </c>
      <c r="H80" s="141">
        <f t="shared" si="69"/>
        <v>0.904671164175603</v>
      </c>
      <c r="I80" s="219">
        <f t="shared" si="70"/>
        <v>0.74214001979649713</v>
      </c>
      <c r="J80" s="137">
        <f t="shared" si="71"/>
        <v>3.1303679182423965</v>
      </c>
      <c r="K80" s="220">
        <f t="shared" si="72"/>
        <v>0</v>
      </c>
      <c r="L80" s="221">
        <f t="shared" si="28"/>
        <v>0</v>
      </c>
      <c r="M80" s="221">
        <f t="shared" si="73"/>
        <v>0</v>
      </c>
      <c r="N80" s="137">
        <f t="shared" si="74"/>
        <v>6949.61</v>
      </c>
      <c r="O80" s="137">
        <f t="shared" si="75"/>
        <v>486.83481864505751</v>
      </c>
      <c r="P80" s="137">
        <f t="shared" si="76"/>
        <v>2.4030838298314481</v>
      </c>
      <c r="Q80" s="137">
        <f t="shared" si="77"/>
        <v>5.4653747638255638E-2</v>
      </c>
      <c r="R80" s="137">
        <f t="shared" si="78"/>
        <v>56.362321972636614</v>
      </c>
      <c r="S80" s="137">
        <f t="shared" si="79"/>
        <v>6519.137503327579</v>
      </c>
      <c r="T80" s="222">
        <f t="shared" si="80"/>
        <v>6597.3061315587775</v>
      </c>
      <c r="U80" s="223">
        <f t="shared" si="87"/>
        <v>5637.8165174183005</v>
      </c>
      <c r="V80" s="137">
        <f t="shared" si="88"/>
        <v>-114.79969458894134</v>
      </c>
      <c r="W80" s="224">
        <f t="shared" si="89"/>
        <v>13523.02</v>
      </c>
      <c r="X80" s="225">
        <f t="shared" si="81"/>
        <v>6193.18</v>
      </c>
      <c r="Y80" s="83">
        <f t="shared" si="82"/>
        <v>6267.44</v>
      </c>
      <c r="Z80" s="141">
        <f t="shared" si="83"/>
        <v>0.8783011031489798</v>
      </c>
      <c r="AA80" s="137">
        <f t="shared" si="84"/>
        <v>6974.9921585288312</v>
      </c>
      <c r="AB80" s="221">
        <f t="shared" si="85"/>
        <v>7106.3037895272582</v>
      </c>
      <c r="AC80" s="149"/>
      <c r="AD80" s="149"/>
      <c r="AG80" s="150">
        <v>8.5973999999999995E-2</v>
      </c>
      <c r="AH80" s="150">
        <v>5.4459E-2</v>
      </c>
    </row>
    <row r="81" spans="1:34">
      <c r="A81" s="156">
        <v>81</v>
      </c>
      <c r="B81" s="150">
        <v>0.10553599999999999</v>
      </c>
      <c r="C81" s="150">
        <v>7.1316999999999992E-2</v>
      </c>
      <c r="D81" s="150">
        <v>9.1848399999999997E-2</v>
      </c>
      <c r="E81" s="160">
        <f t="shared" si="86"/>
        <v>41285.965495269622</v>
      </c>
      <c r="F81" s="218">
        <f t="shared" si="67"/>
        <v>6808.8504315937198</v>
      </c>
      <c r="G81" s="56">
        <f t="shared" si="68"/>
        <v>40982.726927041746</v>
      </c>
      <c r="H81" s="141">
        <f t="shared" si="69"/>
        <v>0.91231137173654087</v>
      </c>
      <c r="I81" s="219">
        <f t="shared" si="70"/>
        <v>0.73181020222002147</v>
      </c>
      <c r="J81" s="137">
        <f t="shared" si="71"/>
        <v>2.6088774585615608</v>
      </c>
      <c r="K81" s="220">
        <f t="shared" si="72"/>
        <v>0</v>
      </c>
      <c r="L81" s="221">
        <f t="shared" si="28"/>
        <v>0</v>
      </c>
      <c r="M81" s="221">
        <f t="shared" si="73"/>
        <v>0</v>
      </c>
      <c r="N81" s="137">
        <f t="shared" si="74"/>
        <v>7018.06</v>
      </c>
      <c r="O81" s="137">
        <f t="shared" si="75"/>
        <v>405.73262235549396</v>
      </c>
      <c r="P81" s="137">
        <f t="shared" si="76"/>
        <v>2.6768019473120743</v>
      </c>
      <c r="Q81" s="137">
        <f t="shared" si="77"/>
        <v>4.5661024584134478E-2</v>
      </c>
      <c r="R81" s="137">
        <f t="shared" si="78"/>
        <v>63.147382145470552</v>
      </c>
      <c r="S81" s="137">
        <f t="shared" si="79"/>
        <v>6675.4747597899768</v>
      </c>
      <c r="T81" s="222">
        <f t="shared" si="80"/>
        <v>6755.5993165551045</v>
      </c>
      <c r="U81" s="223">
        <f t="shared" si="87"/>
        <v>5974.8188036515348</v>
      </c>
      <c r="V81" s="137">
        <f t="shared" si="88"/>
        <v>-118.24368542660959</v>
      </c>
      <c r="W81" s="224">
        <f t="shared" si="89"/>
        <v>13856.58</v>
      </c>
      <c r="X81" s="225">
        <f t="shared" si="81"/>
        <v>6341.7</v>
      </c>
      <c r="Y81" s="83">
        <f t="shared" si="82"/>
        <v>6417.82</v>
      </c>
      <c r="Z81" s="141">
        <f t="shared" si="83"/>
        <v>0.88560885218855756</v>
      </c>
      <c r="AA81" s="137">
        <f t="shared" si="84"/>
        <v>7083.209161108176</v>
      </c>
      <c r="AB81" s="221">
        <f t="shared" si="85"/>
        <v>7218.2836539825412</v>
      </c>
      <c r="AC81" s="149"/>
      <c r="AD81" s="149"/>
      <c r="AG81" s="150">
        <v>9.5223999999999989E-2</v>
      </c>
      <c r="AH81" s="150">
        <v>6.2304999999999999E-2</v>
      </c>
    </row>
    <row r="82" spans="1:34">
      <c r="A82" s="156">
        <v>82</v>
      </c>
      <c r="B82" s="150">
        <v>0.11708</v>
      </c>
      <c r="C82" s="150">
        <v>8.1376999999999991E-2</v>
      </c>
      <c r="D82" s="150">
        <v>0.10279880000000002</v>
      </c>
      <c r="E82" s="160">
        <f t="shared" si="86"/>
        <v>37493.915622073902</v>
      </c>
      <c r="F82" s="218">
        <f t="shared" si="67"/>
        <v>6047.4018715036946</v>
      </c>
      <c r="G82" s="56">
        <f t="shared" si="68"/>
        <v>34173.876495448028</v>
      </c>
      <c r="H82" s="141">
        <f t="shared" si="69"/>
        <v>0.9194161744573125</v>
      </c>
      <c r="I82" s="219">
        <f t="shared" si="70"/>
        <v>0.71935356158419983</v>
      </c>
      <c r="J82" s="137">
        <f t="shared" si="71"/>
        <v>2.0532007148224989</v>
      </c>
      <c r="K82" s="220">
        <f t="shared" si="72"/>
        <v>0</v>
      </c>
      <c r="L82" s="221">
        <f t="shared" si="28"/>
        <v>0</v>
      </c>
      <c r="M82" s="221">
        <f t="shared" si="73"/>
        <v>0</v>
      </c>
      <c r="N82" s="137">
        <f t="shared" si="74"/>
        <v>7083.57</v>
      </c>
      <c r="O82" s="137">
        <f t="shared" si="75"/>
        <v>319.31377516919503</v>
      </c>
      <c r="P82" s="137">
        <f t="shared" si="76"/>
        <v>3.0138470175316496</v>
      </c>
      <c r="Q82" s="137">
        <f t="shared" si="77"/>
        <v>3.6028330472148054E-2</v>
      </c>
      <c r="R82" s="137">
        <f t="shared" si="78"/>
        <v>71.467648489428029</v>
      </c>
      <c r="S82" s="137">
        <f t="shared" si="79"/>
        <v>6835.723873320233</v>
      </c>
      <c r="T82" s="222">
        <f t="shared" si="80"/>
        <v>6919.0967835383171</v>
      </c>
      <c r="U82" s="223">
        <f t="shared" si="87"/>
        <v>6325.9568428256725</v>
      </c>
      <c r="V82" s="137">
        <f t="shared" si="88"/>
        <v>-121.79099598940788</v>
      </c>
      <c r="W82" s="224">
        <f t="shared" si="89"/>
        <v>14204.17</v>
      </c>
      <c r="X82" s="225">
        <f t="shared" si="81"/>
        <v>6493.94</v>
      </c>
      <c r="Y82" s="83">
        <f t="shared" si="82"/>
        <v>6573.14</v>
      </c>
      <c r="Z82" s="141">
        <f t="shared" si="83"/>
        <v>0.89260333997407582</v>
      </c>
      <c r="AA82" s="137">
        <f t="shared" si="84"/>
        <v>7196.3018788528188</v>
      </c>
      <c r="AB82" s="221">
        <f t="shared" si="85"/>
        <v>7336.6374436268979</v>
      </c>
      <c r="AC82" s="149"/>
      <c r="AD82" s="149"/>
      <c r="AG82" s="150">
        <v>0.10553599999999999</v>
      </c>
      <c r="AH82" s="150">
        <v>7.1316999999999992E-2</v>
      </c>
    </row>
    <row r="83" spans="1:34">
      <c r="A83" s="156">
        <v>83</v>
      </c>
      <c r="B83" s="150">
        <v>0.129437</v>
      </c>
      <c r="C83" s="150">
        <v>9.2664999999999997E-2</v>
      </c>
      <c r="D83" s="150">
        <v>0.11472820000000002</v>
      </c>
      <c r="E83" s="160">
        <f t="shared" si="86"/>
        <v>33639.586088823453</v>
      </c>
      <c r="F83" s="218">
        <f t="shared" si="67"/>
        <v>5306.3434875260245</v>
      </c>
      <c r="G83" s="56">
        <f t="shared" si="68"/>
        <v>28126.47462394433</v>
      </c>
      <c r="H83" s="141">
        <f t="shared" si="69"/>
        <v>0.92590492294087512</v>
      </c>
      <c r="I83" s="219">
        <f t="shared" si="70"/>
        <v>0.70482421208679991</v>
      </c>
      <c r="J83" s="137">
        <f t="shared" si="71"/>
        <v>1.4487683693044602</v>
      </c>
      <c r="K83" s="220">
        <f t="shared" si="72"/>
        <v>0</v>
      </c>
      <c r="L83" s="221">
        <f t="shared" si="28"/>
        <v>0</v>
      </c>
      <c r="M83" s="221">
        <f t="shared" si="73"/>
        <v>0</v>
      </c>
      <c r="N83" s="137">
        <f t="shared" si="74"/>
        <v>7145.96</v>
      </c>
      <c r="O83" s="137">
        <f t="shared" si="75"/>
        <v>225.31245679422966</v>
      </c>
      <c r="P83" s="137">
        <f t="shared" si="76"/>
        <v>3.4347463817771442</v>
      </c>
      <c r="Q83" s="137">
        <f t="shared" si="77"/>
        <v>2.5490108834120923E-2</v>
      </c>
      <c r="R83" s="137">
        <f t="shared" si="78"/>
        <v>81.822150550632557</v>
      </c>
      <c r="S83" s="137">
        <f t="shared" si="79"/>
        <v>7002.4696937564031</v>
      </c>
      <c r="T83" s="222">
        <f t="shared" si="80"/>
        <v>7091.1138167325871</v>
      </c>
      <c r="U83" s="223">
        <f t="shared" si="87"/>
        <v>6691.7554378484392</v>
      </c>
      <c r="V83" s="137">
        <f t="shared" si="88"/>
        <v>-125.44472586909011</v>
      </c>
      <c r="W83" s="224">
        <f t="shared" si="89"/>
        <v>14566.31</v>
      </c>
      <c r="X83" s="225">
        <f t="shared" si="81"/>
        <v>6652.35</v>
      </c>
      <c r="Y83" s="83">
        <f t="shared" si="82"/>
        <v>6736.56</v>
      </c>
      <c r="Z83" s="141">
        <f t="shared" si="83"/>
        <v>0.89926386090822386</v>
      </c>
      <c r="AA83" s="137">
        <f t="shared" si="84"/>
        <v>7317.1383128245016</v>
      </c>
      <c r="AB83" s="221">
        <f t="shared" si="85"/>
        <v>7464.89798014187</v>
      </c>
      <c r="AC83" s="149"/>
      <c r="AD83" s="149"/>
      <c r="AG83" s="150">
        <v>0.11708</v>
      </c>
      <c r="AH83" s="150">
        <v>8.1376999999999991E-2</v>
      </c>
    </row>
    <row r="84" spans="1:34">
      <c r="A84" s="156">
        <v>84</v>
      </c>
      <c r="B84" s="150">
        <v>0.14304799999999998</v>
      </c>
      <c r="C84" s="150">
        <v>0.105186</v>
      </c>
      <c r="D84" s="150">
        <v>0.12790319999999999</v>
      </c>
      <c r="E84" s="160">
        <f t="shared" si="86"/>
        <v>29780.176928107696</v>
      </c>
      <c r="F84" s="218">
        <f t="shared" si="67"/>
        <v>4594.1870421715812</v>
      </c>
      <c r="G84" s="56">
        <f t="shared" si="68"/>
        <v>22820.131136418306</v>
      </c>
      <c r="H84" s="141">
        <f t="shared" si="69"/>
        <v>0.93171127562757461</v>
      </c>
      <c r="I84" s="219">
        <f t="shared" si="70"/>
        <v>0.68806300847448965</v>
      </c>
      <c r="J84" s="137">
        <f t="shared" si="71"/>
        <v>0.77434656118924172</v>
      </c>
      <c r="K84" s="220">
        <f t="shared" si="72"/>
        <v>0</v>
      </c>
      <c r="L84" s="221">
        <f t="shared" si="28"/>
        <v>0</v>
      </c>
      <c r="M84" s="221">
        <f t="shared" si="73"/>
        <v>0</v>
      </c>
      <c r="N84" s="137">
        <f t="shared" si="74"/>
        <v>7205.3</v>
      </c>
      <c r="O84" s="137">
        <f t="shared" si="75"/>
        <v>120.42637719615088</v>
      </c>
      <c r="P84" s="137">
        <f t="shared" si="76"/>
        <v>3.9671750250794497</v>
      </c>
      <c r="Q84" s="137">
        <f t="shared" si="77"/>
        <v>1.3661820707743261E-2</v>
      </c>
      <c r="R84" s="137">
        <f t="shared" si="78"/>
        <v>94.884316904920951</v>
      </c>
      <c r="S84" s="137">
        <f t="shared" si="79"/>
        <v>7179.7579397087702</v>
      </c>
      <c r="T84" s="222">
        <f t="shared" si="80"/>
        <v>7276.4552938653496</v>
      </c>
      <c r="U84" s="223">
        <f t="shared" si="87"/>
        <v>7072.8216955981197</v>
      </c>
      <c r="V84" s="137">
        <f t="shared" si="88"/>
        <v>-129.2080676451628</v>
      </c>
      <c r="W84" s="224">
        <f t="shared" si="89"/>
        <v>14943.61</v>
      </c>
      <c r="X84" s="225">
        <f t="shared" si="81"/>
        <v>6820.77</v>
      </c>
      <c r="Y84" s="83">
        <f t="shared" si="82"/>
        <v>6912.63</v>
      </c>
      <c r="Z84" s="141">
        <f t="shared" si="83"/>
        <v>0.90559938515906468</v>
      </c>
      <c r="AA84" s="137">
        <f t="shared" si="84"/>
        <v>7449.8014588303658</v>
      </c>
      <c r="AB84" s="221">
        <f t="shared" si="85"/>
        <v>7607.9979974680564</v>
      </c>
      <c r="AC84" s="149"/>
      <c r="AD84" s="149"/>
      <c r="AG84" s="150">
        <v>0.129437</v>
      </c>
      <c r="AH84" s="150">
        <v>9.2664999999999997E-2</v>
      </c>
    </row>
    <row r="85" spans="1:34">
      <c r="A85" s="156">
        <v>85</v>
      </c>
      <c r="B85" s="150">
        <v>0.15749000000000002</v>
      </c>
      <c r="C85" s="150">
        <v>0.119253</v>
      </c>
      <c r="D85" s="150">
        <v>0.14219520000000002</v>
      </c>
      <c r="E85" s="160">
        <f t="shared" si="86"/>
        <v>25971.197002436551</v>
      </c>
      <c r="F85" s="218">
        <f t="shared" si="67"/>
        <v>3918.4115580237662</v>
      </c>
      <c r="G85" s="56">
        <f t="shared" si="68"/>
        <v>18225.944094246726</v>
      </c>
      <c r="H85" s="141">
        <f t="shared" si="69"/>
        <v>0.93671404299170269</v>
      </c>
      <c r="I85" s="219">
        <f t="shared" si="70"/>
        <v>0.66907393357912981</v>
      </c>
      <c r="J85" s="137">
        <f t="shared" si="71"/>
        <v>0</v>
      </c>
      <c r="K85" s="220">
        <f t="shared" si="72"/>
        <v>0</v>
      </c>
      <c r="L85" s="221">
        <f t="shared" si="28"/>
        <v>0</v>
      </c>
      <c r="M85" s="221">
        <f t="shared" si="73"/>
        <v>0</v>
      </c>
      <c r="N85" s="137">
        <f t="shared" si="74"/>
        <v>7261.52</v>
      </c>
      <c r="O85" s="137">
        <f t="shared" si="75"/>
        <v>0</v>
      </c>
      <c r="P85" s="137">
        <f t="shared" si="76"/>
        <v>4.6513603342469985</v>
      </c>
      <c r="Q85" s="137">
        <f t="shared" si="77"/>
        <v>0</v>
      </c>
      <c r="R85" s="137">
        <f t="shared" si="78"/>
        <v>111.63264802192796</v>
      </c>
      <c r="S85" s="137">
        <f t="shared" si="79"/>
        <v>7373.1526480219281</v>
      </c>
      <c r="T85" s="222">
        <f t="shared" si="80"/>
        <v>7396.1702125660413</v>
      </c>
      <c r="U85" s="223">
        <f t="shared" si="87"/>
        <v>7469.8851134135639</v>
      </c>
      <c r="V85" s="137">
        <f t="shared" si="88"/>
        <v>-133.08430967451767</v>
      </c>
      <c r="W85" s="224">
        <f t="shared" si="89"/>
        <v>15336.8</v>
      </c>
      <c r="X85" s="225">
        <f t="shared" si="81"/>
        <v>7004.5</v>
      </c>
      <c r="Y85" s="83">
        <f t="shared" si="82"/>
        <v>7026.36</v>
      </c>
      <c r="Z85" s="141">
        <f t="shared" si="83"/>
        <v>0.91160140861099792</v>
      </c>
      <c r="AA85" s="137">
        <f t="shared" si="84"/>
        <v>8000</v>
      </c>
      <c r="AB85" s="221">
        <f t="shared" si="85"/>
        <v>8000</v>
      </c>
      <c r="AC85" s="149"/>
      <c r="AD85" s="149"/>
      <c r="AG85" s="150">
        <v>0.14304799999999998</v>
      </c>
      <c r="AH85" s="150">
        <v>0.105186</v>
      </c>
    </row>
    <row r="86" spans="1:34">
      <c r="A86" s="156">
        <v>86</v>
      </c>
      <c r="B86" s="150">
        <v>0.17305799999999999</v>
      </c>
      <c r="C86" s="150">
        <v>0.134717</v>
      </c>
      <c r="D86" s="150">
        <v>0.15772160000000002</v>
      </c>
      <c r="E86" s="160">
        <f t="shared" si="86"/>
        <v>22278.217450435684</v>
      </c>
      <c r="F86" s="218">
        <f t="shared" si="67"/>
        <v>3287.2686971621174</v>
      </c>
      <c r="G86" s="56">
        <f t="shared" si="68"/>
        <v>14307.532536222961</v>
      </c>
      <c r="H86" s="141">
        <f t="shared" si="69"/>
        <v>0.94077006612665504</v>
      </c>
      <c r="I86" s="219">
        <f t="shared" si="70"/>
        <v>0.64764585289507193</v>
      </c>
      <c r="J86" s="137">
        <f t="shared" si="71"/>
        <v>0</v>
      </c>
      <c r="K86" s="220">
        <f t="shared" si="72"/>
        <v>0</v>
      </c>
      <c r="L86" s="221">
        <f t="shared" si="28"/>
        <v>0</v>
      </c>
      <c r="M86" s="221">
        <f t="shared" si="73"/>
        <v>0</v>
      </c>
      <c r="N86" s="137">
        <f t="shared" si="74"/>
        <v>7314.73</v>
      </c>
      <c r="O86" s="137">
        <f t="shared" si="75"/>
        <v>0</v>
      </c>
      <c r="P86" s="137">
        <f t="shared" si="76"/>
        <v>4.3524073795898044</v>
      </c>
      <c r="Q86" s="137">
        <f t="shared" si="77"/>
        <v>0</v>
      </c>
      <c r="R86" s="137">
        <f t="shared" si="78"/>
        <v>104.45777711015531</v>
      </c>
      <c r="S86" s="137">
        <f t="shared" si="79"/>
        <v>7419.1877771101545</v>
      </c>
      <c r="T86" s="222">
        <f t="shared" si="80"/>
        <v>7440.955518519193</v>
      </c>
      <c r="U86" s="223">
        <f t="shared" si="87"/>
        <v>7883.8403475025361</v>
      </c>
      <c r="V86" s="137">
        <f t="shared" si="88"/>
        <v>-137.07683896475322</v>
      </c>
      <c r="W86" s="224">
        <f t="shared" si="89"/>
        <v>15746.76</v>
      </c>
      <c r="X86" s="225">
        <f t="shared" si="81"/>
        <v>7048.23</v>
      </c>
      <c r="Y86" s="83">
        <f t="shared" si="82"/>
        <v>7068.91</v>
      </c>
      <c r="Z86" s="141">
        <f t="shared" si="83"/>
        <v>0.91728297662212377</v>
      </c>
      <c r="AA86" s="137">
        <f t="shared" si="84"/>
        <v>8000</v>
      </c>
      <c r="AB86" s="221">
        <f t="shared" si="85"/>
        <v>8000</v>
      </c>
      <c r="AC86" s="149"/>
      <c r="AD86" s="149"/>
      <c r="AG86" s="150">
        <v>0.15749000000000002</v>
      </c>
      <c r="AH86" s="150">
        <v>0.119253</v>
      </c>
    </row>
    <row r="87" spans="1:34">
      <c r="A87" s="156">
        <v>87</v>
      </c>
      <c r="B87" s="150">
        <v>0.189773</v>
      </c>
      <c r="C87" s="150">
        <v>0.151925</v>
      </c>
      <c r="D87" s="150">
        <v>0.17463380000000001</v>
      </c>
      <c r="E87" s="160">
        <f t="shared" si="86"/>
        <v>18764.461349005047</v>
      </c>
      <c r="F87" s="218">
        <f t="shared" si="67"/>
        <v>2707.8683800643453</v>
      </c>
      <c r="G87" s="56">
        <f t="shared" si="68"/>
        <v>11020.263839060844</v>
      </c>
      <c r="H87" s="141">
        <f t="shared" si="69"/>
        <v>0.9436585405785306</v>
      </c>
      <c r="I87" s="219">
        <f t="shared" si="70"/>
        <v>0.62326669578073424</v>
      </c>
      <c r="J87" s="137">
        <f t="shared" si="71"/>
        <v>0</v>
      </c>
      <c r="K87" s="220">
        <f t="shared" si="72"/>
        <v>0</v>
      </c>
      <c r="L87" s="221">
        <f t="shared" si="28"/>
        <v>0</v>
      </c>
      <c r="M87" s="221">
        <f t="shared" si="73"/>
        <v>0</v>
      </c>
      <c r="N87" s="137">
        <f t="shared" si="74"/>
        <v>7365.05</v>
      </c>
      <c r="O87" s="137">
        <f t="shared" si="75"/>
        <v>0</v>
      </c>
      <c r="P87" s="137">
        <f t="shared" si="76"/>
        <v>4.0697191636762557</v>
      </c>
      <c r="Q87" s="137">
        <f t="shared" si="77"/>
        <v>0</v>
      </c>
      <c r="R87" s="137">
        <f t="shared" si="78"/>
        <v>97.673259928230138</v>
      </c>
      <c r="S87" s="137">
        <f t="shared" si="79"/>
        <v>7462.7232599282306</v>
      </c>
      <c r="T87" s="222">
        <f t="shared" si="80"/>
        <v>7483.2714695520554</v>
      </c>
      <c r="U87" s="223">
        <f t="shared" si="87"/>
        <v>8311.3996431881988</v>
      </c>
      <c r="V87" s="137">
        <f t="shared" si="88"/>
        <v>-141.18914413369583</v>
      </c>
      <c r="W87" s="224">
        <f t="shared" si="89"/>
        <v>16170.21</v>
      </c>
      <c r="X87" s="225">
        <f t="shared" si="81"/>
        <v>7089.59</v>
      </c>
      <c r="Y87" s="83">
        <f t="shared" si="82"/>
        <v>7109.11</v>
      </c>
      <c r="Z87" s="141">
        <f t="shared" si="83"/>
        <v>0.92265543506294534</v>
      </c>
      <c r="AA87" s="137">
        <f t="shared" si="84"/>
        <v>8000</v>
      </c>
      <c r="AB87" s="221">
        <f t="shared" si="85"/>
        <v>8000</v>
      </c>
      <c r="AC87" s="149"/>
      <c r="AD87" s="149"/>
      <c r="AG87" s="150">
        <v>0.17305799999999999</v>
      </c>
      <c r="AH87" s="150">
        <v>0.134717</v>
      </c>
    </row>
    <row r="88" spans="1:34">
      <c r="A88" s="156">
        <v>88</v>
      </c>
      <c r="B88" s="150">
        <v>0.20794399999999999</v>
      </c>
      <c r="C88" s="150">
        <v>0.17061099999999998</v>
      </c>
      <c r="D88" s="150">
        <v>0.19301080000000001</v>
      </c>
      <c r="E88" s="160">
        <f t="shared" si="86"/>
        <v>15487.552158675167</v>
      </c>
      <c r="F88" s="218">
        <f t="shared" si="67"/>
        <v>2185.8024791724833</v>
      </c>
      <c r="G88" s="56">
        <f t="shared" si="68"/>
        <v>8312.3954589964997</v>
      </c>
      <c r="H88" s="141">
        <f t="shared" si="69"/>
        <v>0.94503358501193324</v>
      </c>
      <c r="I88" s="219">
        <f t="shared" si="70"/>
        <v>0.59536336542102197</v>
      </c>
      <c r="J88" s="137">
        <f t="shared" si="71"/>
        <v>0</v>
      </c>
      <c r="K88" s="220">
        <f t="shared" si="72"/>
        <v>0</v>
      </c>
      <c r="L88" s="221">
        <f t="shared" si="28"/>
        <v>0</v>
      </c>
      <c r="M88" s="221">
        <f t="shared" si="73"/>
        <v>0</v>
      </c>
      <c r="N88" s="137">
        <f t="shared" si="74"/>
        <v>7412.55</v>
      </c>
      <c r="O88" s="137">
        <f t="shared" si="75"/>
        <v>0</v>
      </c>
      <c r="P88" s="137">
        <f t="shared" si="76"/>
        <v>3.8029032989950058</v>
      </c>
      <c r="Q88" s="137">
        <f t="shared" si="77"/>
        <v>0</v>
      </c>
      <c r="R88" s="137">
        <f t="shared" si="78"/>
        <v>91.269679175880142</v>
      </c>
      <c r="S88" s="137">
        <f t="shared" si="79"/>
        <v>7503.8196791758801</v>
      </c>
      <c r="T88" s="222">
        <f t="shared" si="80"/>
        <v>7523.1820437322685</v>
      </c>
      <c r="U88" s="223">
        <f t="shared" si="87"/>
        <v>8752.9067564269972</v>
      </c>
      <c r="V88" s="137">
        <f t="shared" si="88"/>
        <v>-145.42481845770669</v>
      </c>
      <c r="W88" s="224">
        <f t="shared" si="89"/>
        <v>16607.48</v>
      </c>
      <c r="X88" s="225">
        <f t="shared" si="81"/>
        <v>7128.63</v>
      </c>
      <c r="Y88" s="83">
        <f t="shared" si="82"/>
        <v>7147.02</v>
      </c>
      <c r="Z88" s="141">
        <f t="shared" si="83"/>
        <v>0.92772624121494374</v>
      </c>
      <c r="AA88" s="137">
        <f t="shared" si="84"/>
        <v>8000</v>
      </c>
      <c r="AB88" s="221">
        <f t="shared" si="85"/>
        <v>8000</v>
      </c>
      <c r="AC88" s="149"/>
      <c r="AD88" s="149"/>
      <c r="AG88" s="150">
        <v>0.189773</v>
      </c>
      <c r="AH88" s="150">
        <v>0.151925</v>
      </c>
    </row>
    <row r="89" spans="1:34">
      <c r="A89" s="156">
        <v>89</v>
      </c>
      <c r="B89" s="150">
        <v>0.228522</v>
      </c>
      <c r="C89" s="150">
        <v>0.19259299999999999</v>
      </c>
      <c r="D89" s="150">
        <v>0.21415040000000002</v>
      </c>
      <c r="E89" s="160">
        <f t="shared" si="86"/>
        <v>12498.287326487545</v>
      </c>
      <c r="F89" s="218">
        <f t="shared" si="67"/>
        <v>1725.1041506361066</v>
      </c>
      <c r="G89" s="56">
        <f t="shared" si="68"/>
        <v>6126.5929798240159</v>
      </c>
      <c r="H89" s="141">
        <f t="shared" si="69"/>
        <v>0.94435847547234197</v>
      </c>
      <c r="I89" s="219">
        <f t="shared" si="70"/>
        <v>0.56324066071983125</v>
      </c>
      <c r="J89" s="137">
        <f t="shared" si="71"/>
        <v>0</v>
      </c>
      <c r="K89" s="220">
        <f t="shared" si="72"/>
        <v>0</v>
      </c>
      <c r="L89" s="221">
        <f t="shared" si="28"/>
        <v>0</v>
      </c>
      <c r="M89" s="221">
        <f t="shared" si="73"/>
        <v>0</v>
      </c>
      <c r="N89" s="137">
        <f t="shared" si="74"/>
        <v>7457.31</v>
      </c>
      <c r="O89" s="137">
        <f t="shared" si="75"/>
        <v>0</v>
      </c>
      <c r="P89" s="137">
        <f t="shared" si="76"/>
        <v>3.5514336786940808</v>
      </c>
      <c r="Q89" s="137">
        <f t="shared" si="77"/>
        <v>0</v>
      </c>
      <c r="R89" s="137">
        <f t="shared" si="78"/>
        <v>85.234408288657932</v>
      </c>
      <c r="S89" s="137">
        <f t="shared" si="79"/>
        <v>7542.5444082886579</v>
      </c>
      <c r="T89" s="222">
        <f t="shared" si="80"/>
        <v>7560.3844595651835</v>
      </c>
      <c r="U89" s="223">
        <f t="shared" si="87"/>
        <v>9208.7173158585865</v>
      </c>
      <c r="V89" s="137">
        <f t="shared" si="88"/>
        <v>-149.78756301143787</v>
      </c>
      <c r="W89" s="224">
        <f t="shared" si="89"/>
        <v>17058.93</v>
      </c>
      <c r="X89" s="225">
        <f t="shared" si="81"/>
        <v>7165.42</v>
      </c>
      <c r="Y89" s="83">
        <f t="shared" si="82"/>
        <v>7182.37</v>
      </c>
      <c r="Z89" s="141">
        <f t="shared" si="83"/>
        <v>0.93250539368095597</v>
      </c>
      <c r="AA89" s="137">
        <f t="shared" si="84"/>
        <v>8000</v>
      </c>
      <c r="AB89" s="221">
        <f t="shared" si="85"/>
        <v>8000</v>
      </c>
      <c r="AC89" s="149"/>
      <c r="AD89" s="149"/>
      <c r="AG89" s="150">
        <v>0.20794399999999999</v>
      </c>
      <c r="AH89" s="150">
        <v>0.17061099999999998</v>
      </c>
    </row>
    <row r="90" spans="1:34">
      <c r="A90" s="156">
        <v>90</v>
      </c>
      <c r="B90" s="150">
        <v>0.250749</v>
      </c>
      <c r="C90" s="150">
        <v>0.216082</v>
      </c>
      <c r="D90" s="150">
        <v>0.23688220000000001</v>
      </c>
      <c r="E90" s="160">
        <f t="shared" si="86"/>
        <v>9821.7740962053067</v>
      </c>
      <c r="F90" s="218">
        <f t="shared" si="67"/>
        <v>1325.840984582615</v>
      </c>
      <c r="G90" s="56">
        <f t="shared" si="68"/>
        <v>4401.4888291879097</v>
      </c>
      <c r="H90" s="141">
        <f t="shared" si="69"/>
        <v>0.94060633170711483</v>
      </c>
      <c r="I90" s="219">
        <f t="shared" si="70"/>
        <v>0.52721962205064254</v>
      </c>
      <c r="J90" s="137">
        <f t="shared" si="71"/>
        <v>0</v>
      </c>
      <c r="K90" s="220">
        <f t="shared" si="72"/>
        <v>0</v>
      </c>
      <c r="L90" s="221">
        <f t="shared" si="28"/>
        <v>0</v>
      </c>
      <c r="M90" s="221">
        <f t="shared" si="73"/>
        <v>0</v>
      </c>
      <c r="N90" s="137">
        <f t="shared" si="74"/>
        <v>7498.55</v>
      </c>
      <c r="O90" s="137">
        <f t="shared" si="75"/>
        <v>0</v>
      </c>
      <c r="P90" s="137">
        <f t="shared" si="76"/>
        <v>3.3197712850712127</v>
      </c>
      <c r="Q90" s="137">
        <f t="shared" si="77"/>
        <v>0</v>
      </c>
      <c r="R90" s="137">
        <f t="shared" si="78"/>
        <v>79.674510841709107</v>
      </c>
      <c r="S90" s="137">
        <f t="shared" si="79"/>
        <v>7578.2245108417092</v>
      </c>
      <c r="T90" s="222">
        <f t="shared" si="80"/>
        <v>7594.5113377746193</v>
      </c>
      <c r="U90" s="223">
        <f t="shared" si="87"/>
        <v>9679.1993538477782</v>
      </c>
      <c r="V90" s="137">
        <f t="shared" si="88"/>
        <v>-154.281189901781</v>
      </c>
      <c r="W90" s="224">
        <f t="shared" si="89"/>
        <v>17524.919999999998</v>
      </c>
      <c r="X90" s="225">
        <f t="shared" si="81"/>
        <v>7199.31</v>
      </c>
      <c r="Y90" s="83">
        <f t="shared" si="82"/>
        <v>7214.79</v>
      </c>
      <c r="Z90" s="141">
        <f t="shared" si="83"/>
        <v>0.93690811198323098</v>
      </c>
      <c r="AA90" s="137">
        <f t="shared" si="84"/>
        <v>8000</v>
      </c>
      <c r="AB90" s="221">
        <f t="shared" si="85"/>
        <v>8000</v>
      </c>
      <c r="AC90" s="149"/>
      <c r="AD90" s="149"/>
      <c r="AG90" s="150">
        <v>0.228522</v>
      </c>
      <c r="AH90" s="150">
        <v>0.19259299999999999</v>
      </c>
    </row>
    <row r="91" spans="1:34">
      <c r="A91" s="156">
        <v>91</v>
      </c>
      <c r="B91" s="150">
        <v>0.273899</v>
      </c>
      <c r="C91" s="150">
        <v>0.241087</v>
      </c>
      <c r="D91" s="150">
        <v>0.26077420000000001</v>
      </c>
      <c r="E91" s="160">
        <f t="shared" si="86"/>
        <v>7495.1706403931812</v>
      </c>
      <c r="F91" s="218">
        <f t="shared" si="67"/>
        <v>989.50890494329531</v>
      </c>
      <c r="G91" s="56">
        <f t="shared" si="68"/>
        <v>3075.6478446052947</v>
      </c>
      <c r="H91" s="141">
        <f t="shared" si="69"/>
        <v>0.93228484556019997</v>
      </c>
      <c r="I91" s="219">
        <f t="shared" si="70"/>
        <v>0.48637074422682181</v>
      </c>
      <c r="J91" s="137">
        <f t="shared" si="71"/>
        <v>0</v>
      </c>
      <c r="K91" s="220">
        <f t="shared" si="72"/>
        <v>0</v>
      </c>
      <c r="L91" s="221">
        <f t="shared" si="28"/>
        <v>0</v>
      </c>
      <c r="M91" s="221">
        <f t="shared" si="73"/>
        <v>0</v>
      </c>
      <c r="N91" s="137">
        <f t="shared" si="74"/>
        <v>7536.2</v>
      </c>
      <c r="O91" s="137">
        <f t="shared" si="75"/>
        <v>0</v>
      </c>
      <c r="P91" s="137">
        <f t="shared" si="76"/>
        <v>3.1082568628137284</v>
      </c>
      <c r="Q91" s="137">
        <f t="shared" si="77"/>
        <v>0</v>
      </c>
      <c r="R91" s="137">
        <f t="shared" si="78"/>
        <v>74.598164707529477</v>
      </c>
      <c r="S91" s="137">
        <f t="shared" si="79"/>
        <v>7610.7981647075294</v>
      </c>
      <c r="T91" s="222">
        <f t="shared" si="80"/>
        <v>7625.592871405398</v>
      </c>
      <c r="U91" s="223">
        <f t="shared" si="87"/>
        <v>10164.714615617386</v>
      </c>
      <c r="V91" s="137">
        <f t="shared" si="88"/>
        <v>-158.90962559883445</v>
      </c>
      <c r="W91" s="224">
        <f t="shared" si="89"/>
        <v>18005.8</v>
      </c>
      <c r="X91" s="225">
        <f t="shared" si="81"/>
        <v>7230.26</v>
      </c>
      <c r="Y91" s="83">
        <f t="shared" si="82"/>
        <v>7244.31</v>
      </c>
      <c r="Z91" s="141">
        <f t="shared" si="83"/>
        <v>0.94092792030647687</v>
      </c>
      <c r="AA91" s="137">
        <f t="shared" si="84"/>
        <v>8000</v>
      </c>
      <c r="AB91" s="221">
        <f t="shared" si="85"/>
        <v>8000</v>
      </c>
      <c r="AC91" s="149"/>
      <c r="AD91" s="149"/>
      <c r="AG91" s="150">
        <v>0.250749</v>
      </c>
      <c r="AH91" s="150">
        <v>0.216082</v>
      </c>
    </row>
    <row r="92" spans="1:34">
      <c r="A92" s="156">
        <v>92</v>
      </c>
      <c r="B92" s="150">
        <v>0.29808299999999999</v>
      </c>
      <c r="C92" s="150">
        <v>0.26707799999999998</v>
      </c>
      <c r="D92" s="150">
        <v>0.28568100000000002</v>
      </c>
      <c r="E92" s="160">
        <f t="shared" si="86"/>
        <v>5540.6235127811624</v>
      </c>
      <c r="F92" s="218">
        <f t="shared" si="67"/>
        <v>715.37458372990852</v>
      </c>
      <c r="G92" s="56">
        <f t="shared" si="68"/>
        <v>2086.1389396619993</v>
      </c>
      <c r="H92" s="141">
        <f t="shared" si="69"/>
        <v>0.9169315666120933</v>
      </c>
      <c r="I92" s="219">
        <f t="shared" si="70"/>
        <v>0.43878254770654213</v>
      </c>
      <c r="J92" s="137">
        <f t="shared" si="71"/>
        <v>0</v>
      </c>
      <c r="K92" s="220">
        <f t="shared" si="72"/>
        <v>0</v>
      </c>
      <c r="L92" s="221">
        <f t="shared" si="28"/>
        <v>0</v>
      </c>
      <c r="M92" s="221">
        <f t="shared" si="73"/>
        <v>0</v>
      </c>
      <c r="N92" s="137">
        <f t="shared" si="74"/>
        <v>7570.4</v>
      </c>
      <c r="O92" s="137">
        <f t="shared" si="75"/>
        <v>0</v>
      </c>
      <c r="P92" s="137">
        <f t="shared" si="76"/>
        <v>2.9161490876360605</v>
      </c>
      <c r="Q92" s="137">
        <f t="shared" si="77"/>
        <v>0</v>
      </c>
      <c r="R92" s="137">
        <f t="shared" si="78"/>
        <v>69.987578103265449</v>
      </c>
      <c r="S92" s="137">
        <f t="shared" si="79"/>
        <v>7640.3875781032648</v>
      </c>
      <c r="T92" s="222">
        <f t="shared" si="80"/>
        <v>7653.732864283139</v>
      </c>
      <c r="U92" s="223">
        <f t="shared" si="87"/>
        <v>10665.634106827127</v>
      </c>
      <c r="V92" s="137">
        <f t="shared" si="88"/>
        <v>-163.67691436679948</v>
      </c>
      <c r="W92" s="224">
        <f t="shared" si="89"/>
        <v>18501.96</v>
      </c>
      <c r="X92" s="225">
        <f t="shared" si="81"/>
        <v>7258.37</v>
      </c>
      <c r="Y92" s="83">
        <f t="shared" si="82"/>
        <v>7271.05</v>
      </c>
      <c r="Z92" s="141">
        <f t="shared" si="83"/>
        <v>0.9445789074371761</v>
      </c>
      <c r="AA92" s="137">
        <f t="shared" si="84"/>
        <v>8000</v>
      </c>
      <c r="AB92" s="221">
        <f t="shared" si="85"/>
        <v>8000</v>
      </c>
      <c r="AC92" s="149"/>
      <c r="AD92" s="149"/>
      <c r="AG92" s="150">
        <v>0.273899</v>
      </c>
      <c r="AH92" s="150">
        <v>0.241087</v>
      </c>
    </row>
    <row r="93" spans="1:34">
      <c r="A93" s="156">
        <v>93</v>
      </c>
      <c r="B93" s="150">
        <v>0.32319599999999998</v>
      </c>
      <c r="C93" s="150">
        <v>0.29389699999999996</v>
      </c>
      <c r="D93" s="150">
        <v>0.31147639999999999</v>
      </c>
      <c r="E93" s="160">
        <f t="shared" si="86"/>
        <v>3957.7726470263269</v>
      </c>
      <c r="F93" s="218">
        <f t="shared" si="67"/>
        <v>499.76103401013648</v>
      </c>
      <c r="G93" s="56">
        <f t="shared" si="68"/>
        <v>1370.7643559320907</v>
      </c>
      <c r="H93" s="141">
        <f t="shared" si="69"/>
        <v>0.89027315288696296</v>
      </c>
      <c r="I93" s="219">
        <f t="shared" si="70"/>
        <v>0.38077992520547255</v>
      </c>
      <c r="J93" s="137">
        <f t="shared" si="71"/>
        <v>0</v>
      </c>
      <c r="K93" s="220">
        <f t="shared" si="72"/>
        <v>0</v>
      </c>
      <c r="L93" s="221">
        <f t="shared" si="28"/>
        <v>0</v>
      </c>
      <c r="M93" s="221">
        <f t="shared" si="73"/>
        <v>0</v>
      </c>
      <c r="N93" s="137">
        <f t="shared" si="74"/>
        <v>7601.25</v>
      </c>
      <c r="O93" s="137">
        <f t="shared" si="75"/>
        <v>0</v>
      </c>
      <c r="P93" s="137">
        <f t="shared" si="76"/>
        <v>2.7428396026255379</v>
      </c>
      <c r="Q93" s="137">
        <f t="shared" si="77"/>
        <v>0</v>
      </c>
      <c r="R93" s="137">
        <f t="shared" si="78"/>
        <v>65.828150463012918</v>
      </c>
      <c r="S93" s="137">
        <f t="shared" si="79"/>
        <v>7667.0781504630131</v>
      </c>
      <c r="T93" s="222">
        <f t="shared" si="80"/>
        <v>7678.9827665010789</v>
      </c>
      <c r="U93" s="223">
        <f t="shared" si="87"/>
        <v>11182.3431101681</v>
      </c>
      <c r="V93" s="137">
        <f t="shared" si="88"/>
        <v>-168.58722179780344</v>
      </c>
      <c r="W93" s="224">
        <f t="shared" si="89"/>
        <v>19013.759999999998</v>
      </c>
      <c r="X93" s="225">
        <f t="shared" si="81"/>
        <v>7283.72</v>
      </c>
      <c r="Y93" s="83">
        <f t="shared" si="82"/>
        <v>7295.03</v>
      </c>
      <c r="Z93" s="141">
        <f t="shared" si="83"/>
        <v>0.9478726351315202</v>
      </c>
      <c r="AA93" s="137">
        <f t="shared" si="84"/>
        <v>8000</v>
      </c>
      <c r="AB93" s="221">
        <f t="shared" si="85"/>
        <v>8000</v>
      </c>
      <c r="AC93" s="149"/>
      <c r="AD93" s="149"/>
      <c r="AG93" s="150">
        <v>0.29808299999999999</v>
      </c>
      <c r="AH93" s="150">
        <v>0.26707799999999998</v>
      </c>
    </row>
    <row r="94" spans="1:34">
      <c r="A94" s="156">
        <v>94</v>
      </c>
      <c r="B94" s="150">
        <v>0.34789199999999998</v>
      </c>
      <c r="C94" s="150">
        <v>0.31920399999999999</v>
      </c>
      <c r="D94" s="150">
        <v>0.33641680000000002</v>
      </c>
      <c r="E94" s="160">
        <f t="shared" si="86"/>
        <v>2725.0198709120959</v>
      </c>
      <c r="F94" s="218">
        <f t="shared" si="67"/>
        <v>336.52544379108218</v>
      </c>
      <c r="G94" s="56">
        <f t="shared" si="68"/>
        <v>871.00332192195424</v>
      </c>
      <c r="H94" s="141">
        <f t="shared" si="69"/>
        <v>0.84465514365580208</v>
      </c>
      <c r="I94" s="219">
        <f t="shared" si="70"/>
        <v>0.30562973737351401</v>
      </c>
      <c r="J94" s="137">
        <f t="shared" si="71"/>
        <v>0</v>
      </c>
      <c r="K94" s="220">
        <f t="shared" si="72"/>
        <v>0</v>
      </c>
      <c r="L94" s="221">
        <f t="shared" si="28"/>
        <v>0</v>
      </c>
      <c r="M94" s="221">
        <f t="shared" si="73"/>
        <v>0</v>
      </c>
      <c r="N94" s="137">
        <f t="shared" si="74"/>
        <v>7628.77</v>
      </c>
      <c r="O94" s="137">
        <f t="shared" si="75"/>
        <v>0</v>
      </c>
      <c r="P94" s="137">
        <f t="shared" si="76"/>
        <v>2.5882242724644628</v>
      </c>
      <c r="Q94" s="137">
        <f t="shared" si="77"/>
        <v>0</v>
      </c>
      <c r="R94" s="137">
        <f t="shared" si="78"/>
        <v>62.117382539147108</v>
      </c>
      <c r="S94" s="137">
        <f t="shared" si="79"/>
        <v>7690.8873825391474</v>
      </c>
      <c r="T94" s="222">
        <f t="shared" si="80"/>
        <v>7701.7457876986855</v>
      </c>
      <c r="U94" s="223">
        <f t="shared" si="87"/>
        <v>11715.240665847565</v>
      </c>
      <c r="V94" s="137">
        <f t="shared" si="88"/>
        <v>-173.64483845173754</v>
      </c>
      <c r="W94" s="224">
        <f t="shared" si="89"/>
        <v>19541.599999999999</v>
      </c>
      <c r="X94" s="225">
        <f t="shared" si="81"/>
        <v>7306.34</v>
      </c>
      <c r="Y94" s="83">
        <f t="shared" si="82"/>
        <v>7316.66</v>
      </c>
      <c r="Z94" s="141">
        <f t="shared" si="83"/>
        <v>0.95081108246976476</v>
      </c>
      <c r="AA94" s="137">
        <f t="shared" si="84"/>
        <v>8000</v>
      </c>
      <c r="AB94" s="221">
        <f t="shared" si="85"/>
        <v>8000</v>
      </c>
      <c r="AC94" s="149"/>
      <c r="AD94" s="149"/>
      <c r="AG94" s="150">
        <v>0.32319599999999998</v>
      </c>
      <c r="AH94" s="150">
        <v>0.29389699999999996</v>
      </c>
    </row>
    <row r="95" spans="1:34">
      <c r="A95" s="156">
        <v>95</v>
      </c>
      <c r="B95" s="150">
        <v>0.37297399999999997</v>
      </c>
      <c r="C95" s="150">
        <v>0.34488799999999997</v>
      </c>
      <c r="D95" s="150">
        <v>0.36173960000000005</v>
      </c>
      <c r="E95" s="160">
        <f t="shared" si="86"/>
        <v>1808.2774060034353</v>
      </c>
      <c r="F95" s="218">
        <f t="shared" si="67"/>
        <v>218.39866099981072</v>
      </c>
      <c r="G95" s="56">
        <f t="shared" si="68"/>
        <v>534.47787813087211</v>
      </c>
      <c r="H95" s="141">
        <f t="shared" si="69"/>
        <v>0.76660100960909261</v>
      </c>
      <c r="I95" s="219">
        <f t="shared" si="70"/>
        <v>0.19897411478380633</v>
      </c>
      <c r="J95" s="137">
        <f t="shared" si="71"/>
        <v>0</v>
      </c>
      <c r="K95" s="220">
        <f t="shared" si="72"/>
        <v>0</v>
      </c>
      <c r="L95" s="221">
        <f t="shared" si="28"/>
        <v>0</v>
      </c>
      <c r="M95" s="221">
        <f t="shared" si="73"/>
        <v>0</v>
      </c>
      <c r="N95" s="137">
        <f t="shared" si="74"/>
        <v>7653.87</v>
      </c>
      <c r="O95" s="137">
        <f t="shared" si="75"/>
        <v>0</v>
      </c>
      <c r="P95" s="137">
        <f t="shared" si="76"/>
        <v>2.4472580357593645</v>
      </c>
      <c r="Q95" s="137">
        <f t="shared" si="77"/>
        <v>0</v>
      </c>
      <c r="R95" s="137">
        <f t="shared" si="78"/>
        <v>58.734192858224745</v>
      </c>
      <c r="S95" s="137">
        <f t="shared" si="79"/>
        <v>7712.6041928582245</v>
      </c>
      <c r="T95" s="222">
        <f t="shared" si="80"/>
        <v>7722.5143710035145</v>
      </c>
      <c r="U95" s="223">
        <f t="shared" si="87"/>
        <v>12264.738235923374</v>
      </c>
      <c r="V95" s="137">
        <f t="shared" si="88"/>
        <v>-178.85418360528968</v>
      </c>
      <c r="W95" s="224">
        <f t="shared" si="89"/>
        <v>20085.88</v>
      </c>
      <c r="X95" s="225">
        <f t="shared" si="81"/>
        <v>7326.97</v>
      </c>
      <c r="Y95" s="83">
        <f t="shared" si="82"/>
        <v>7336.39</v>
      </c>
      <c r="Z95" s="141">
        <f t="shared" si="83"/>
        <v>0.95349013028861229</v>
      </c>
      <c r="AA95" s="137">
        <f t="shared" si="84"/>
        <v>8000</v>
      </c>
      <c r="AB95" s="221">
        <f t="shared" si="85"/>
        <v>8000</v>
      </c>
      <c r="AC95" s="149"/>
      <c r="AD95" s="149"/>
      <c r="AG95" s="150">
        <v>0.34789199999999998</v>
      </c>
      <c r="AH95" s="150">
        <v>0.31920399999999999</v>
      </c>
    </row>
    <row r="96" spans="1:34">
      <c r="A96" s="156">
        <v>96</v>
      </c>
      <c r="B96" s="150">
        <v>0.39779799999999998</v>
      </c>
      <c r="C96" s="150">
        <v>0.36844000000000005</v>
      </c>
      <c r="D96" s="150">
        <v>0.38605480000000003</v>
      </c>
      <c r="E96" s="160">
        <f t="shared" si="86"/>
        <v>1154.1518604667149</v>
      </c>
      <c r="F96" s="218">
        <f t="shared" si="67"/>
        <v>136.32784032195951</v>
      </c>
      <c r="G96" s="56">
        <f t="shared" si="68"/>
        <v>316.07921713106145</v>
      </c>
      <c r="H96" s="141">
        <f t="shared" si="69"/>
        <v>0.6302665654915135</v>
      </c>
      <c r="I96" s="219">
        <f t="shared" si="70"/>
        <v>3.5016037171537007E-2</v>
      </c>
      <c r="J96" s="137">
        <f t="shared" si="71"/>
        <v>0</v>
      </c>
      <c r="K96" s="220">
        <f t="shared" si="72"/>
        <v>0</v>
      </c>
      <c r="L96" s="221">
        <f t="shared" si="28"/>
        <v>0</v>
      </c>
      <c r="M96" s="221">
        <f t="shared" si="73"/>
        <v>0</v>
      </c>
      <c r="N96" s="137">
        <f t="shared" si="74"/>
        <v>7676.78</v>
      </c>
      <c r="O96" s="137">
        <f t="shared" si="75"/>
        <v>0</v>
      </c>
      <c r="P96" s="137">
        <f t="shared" si="76"/>
        <v>2.3185228812001344</v>
      </c>
      <c r="Q96" s="137">
        <f t="shared" si="77"/>
        <v>0</v>
      </c>
      <c r="R96" s="137">
        <f t="shared" si="78"/>
        <v>55.644549148803222</v>
      </c>
      <c r="S96" s="137">
        <f t="shared" si="79"/>
        <v>7732.4245491488027</v>
      </c>
      <c r="T96" s="222">
        <f t="shared" si="80"/>
        <v>7741.8636097625031</v>
      </c>
      <c r="U96" s="223">
        <f t="shared" si="87"/>
        <v>12831.279940967175</v>
      </c>
      <c r="V96" s="137">
        <f t="shared" si="88"/>
        <v>-184.21980911344835</v>
      </c>
      <c r="W96" s="224">
        <f t="shared" si="89"/>
        <v>20647.060000000001</v>
      </c>
      <c r="X96" s="225">
        <f t="shared" si="81"/>
        <v>7345.8</v>
      </c>
      <c r="Y96" s="83">
        <f t="shared" si="82"/>
        <v>7354.77</v>
      </c>
      <c r="Z96" s="141">
        <f t="shared" si="83"/>
        <v>0.95593672773699589</v>
      </c>
      <c r="AA96" s="137">
        <f t="shared" si="84"/>
        <v>8000</v>
      </c>
      <c r="AB96" s="221">
        <f t="shared" si="85"/>
        <v>8000</v>
      </c>
      <c r="AC96" s="149"/>
      <c r="AD96" s="149"/>
      <c r="AG96" s="150">
        <v>0.37297399999999997</v>
      </c>
      <c r="AH96" s="150">
        <v>0.34488799999999997</v>
      </c>
    </row>
    <row r="97" spans="1:34">
      <c r="A97" s="156">
        <v>97</v>
      </c>
      <c r="B97" s="150">
        <v>0.42432699999999995</v>
      </c>
      <c r="C97" s="150">
        <v>0.39572299999999999</v>
      </c>
      <c r="D97" s="150">
        <v>0.41288540000000001</v>
      </c>
      <c r="E97" s="160">
        <f t="shared" si="86"/>
        <v>708.5859948046093</v>
      </c>
      <c r="F97" s="218">
        <f t="shared" si="67"/>
        <v>81.856061801499749</v>
      </c>
      <c r="G97" s="56">
        <f t="shared" si="68"/>
        <v>179.75137680910197</v>
      </c>
      <c r="H97" s="141">
        <f t="shared" si="69"/>
        <v>0.38653676046752805</v>
      </c>
      <c r="I97" s="219">
        <f t="shared" si="70"/>
        <v>-0.23687182136607676</v>
      </c>
      <c r="J97" s="137">
        <f t="shared" si="71"/>
        <v>0</v>
      </c>
      <c r="K97" s="220">
        <f t="shared" si="72"/>
        <v>0</v>
      </c>
      <c r="L97" s="221">
        <f t="shared" si="28"/>
        <v>0</v>
      </c>
      <c r="M97" s="221">
        <f t="shared" si="73"/>
        <v>0</v>
      </c>
      <c r="N97" s="137">
        <f t="shared" si="74"/>
        <v>7698.6</v>
      </c>
      <c r="O97" s="137">
        <f t="shared" si="75"/>
        <v>0</v>
      </c>
      <c r="P97" s="137">
        <f t="shared" si="76"/>
        <v>2.1959445990084099</v>
      </c>
      <c r="Q97" s="137">
        <f t="shared" si="77"/>
        <v>0</v>
      </c>
      <c r="R97" s="137">
        <f t="shared" si="78"/>
        <v>52.702670376201837</v>
      </c>
      <c r="S97" s="137">
        <f t="shared" si="79"/>
        <v>7751.3026703762025</v>
      </c>
      <c r="T97" s="222">
        <f t="shared" si="80"/>
        <v>7760.0151613164808</v>
      </c>
      <c r="U97" s="223">
        <f t="shared" si="87"/>
        <v>13415.328271336772</v>
      </c>
      <c r="V97" s="137">
        <f t="shared" si="88"/>
        <v>-189.7464033868518</v>
      </c>
      <c r="W97" s="224">
        <f t="shared" si="89"/>
        <v>21225.58</v>
      </c>
      <c r="X97" s="225">
        <f t="shared" si="81"/>
        <v>7363.74</v>
      </c>
      <c r="Y97" s="83">
        <f t="shared" si="82"/>
        <v>7372.01</v>
      </c>
      <c r="Z97" s="141">
        <f t="shared" si="83"/>
        <v>0.95826631450344191</v>
      </c>
      <c r="AA97" s="137">
        <f t="shared" si="84"/>
        <v>8000</v>
      </c>
      <c r="AB97" s="221">
        <f t="shared" si="85"/>
        <v>8000</v>
      </c>
      <c r="AC97" s="149"/>
      <c r="AD97" s="149"/>
      <c r="AG97" s="150">
        <v>0.39779799999999998</v>
      </c>
      <c r="AH97" s="150">
        <v>0.36844000000000005</v>
      </c>
    </row>
    <row r="98" spans="1:34">
      <c r="A98" s="156">
        <v>98</v>
      </c>
      <c r="B98" s="150">
        <v>0.45125699999999996</v>
      </c>
      <c r="C98" s="150">
        <v>0.42344499999999996</v>
      </c>
      <c r="D98" s="150">
        <v>0.44013219999999997</v>
      </c>
      <c r="E98" s="160">
        <f t="shared" si="86"/>
        <v>416.0211829053103</v>
      </c>
      <c r="F98" s="218">
        <f t="shared" si="67"/>
        <v>47.001358417763136</v>
      </c>
      <c r="G98" s="56">
        <f t="shared" si="68"/>
        <v>97.895315007602221</v>
      </c>
      <c r="H98" s="141">
        <f t="shared" si="69"/>
        <v>-6.8309195746731E-2</v>
      </c>
      <c r="I98" s="219">
        <f t="shared" si="70"/>
        <v>-0.71897599026381886</v>
      </c>
      <c r="J98" s="137">
        <f t="shared" si="71"/>
        <v>0</v>
      </c>
      <c r="K98" s="220">
        <f t="shared" si="72"/>
        <v>0</v>
      </c>
      <c r="L98" s="221">
        <f t="shared" si="28"/>
        <v>0</v>
      </c>
      <c r="M98" s="221">
        <f t="shared" si="73"/>
        <v>0</v>
      </c>
      <c r="N98" s="137">
        <f t="shared" ref="N98:N110" si="90">ROUND(VS*IF(D98=1,1,((V*Nx-G99)/Dx*SQRT(1+$E$1)+IF(x&gt;MIN(X_END,65),0,(1-$L$1)*$L$4*(Nx-$H$7)/Dx))),2)</f>
        <v>7718.74</v>
      </c>
      <c r="O98" s="137">
        <f t="shared" si="75"/>
        <v>0</v>
      </c>
      <c r="P98" s="137">
        <f t="shared" si="76"/>
        <v>2.0828188440316402</v>
      </c>
      <c r="Q98" s="137">
        <f t="shared" si="77"/>
        <v>0</v>
      </c>
      <c r="R98" s="137">
        <f t="shared" si="78"/>
        <v>49.987652256759361</v>
      </c>
      <c r="S98" s="137">
        <f t="shared" si="79"/>
        <v>7768.727652256759</v>
      </c>
      <c r="T98" s="222">
        <f t="shared" si="80"/>
        <v>7776.8297626392277</v>
      </c>
      <c r="U98" s="223">
        <f t="shared" si="87"/>
        <v>14017.384163239061</v>
      </c>
      <c r="V98" s="137">
        <f t="shared" si="88"/>
        <v>-195.43879548845737</v>
      </c>
      <c r="W98" s="224">
        <f t="shared" si="89"/>
        <v>21821.95</v>
      </c>
      <c r="X98" s="225">
        <f t="shared" si="81"/>
        <v>7380.29</v>
      </c>
      <c r="Y98" s="83">
        <f t="shared" si="82"/>
        <v>7387.99</v>
      </c>
      <c r="Z98" s="141">
        <f t="shared" si="83"/>
        <v>0.96041625703017641</v>
      </c>
      <c r="AA98" s="137">
        <f t="shared" si="84"/>
        <v>8000</v>
      </c>
      <c r="AB98" s="221">
        <f t="shared" si="85"/>
        <v>8000</v>
      </c>
      <c r="AC98" s="149"/>
      <c r="AD98" s="149"/>
      <c r="AG98" s="150">
        <v>0.42432699999999995</v>
      </c>
      <c r="AH98" s="150">
        <v>0.39572299999999999</v>
      </c>
    </row>
    <row r="99" spans="1:34">
      <c r="A99" s="156">
        <v>99</v>
      </c>
      <c r="B99" s="150">
        <v>0.47850899999999996</v>
      </c>
      <c r="C99" s="150">
        <v>0.45152100000000001</v>
      </c>
      <c r="D99" s="150">
        <v>0.46771380000000001</v>
      </c>
      <c r="E99" s="160">
        <f t="shared" si="86"/>
        <v>232.91686442659369</v>
      </c>
      <c r="F99" s="218">
        <f t="shared" si="67"/>
        <v>25.735498419916411</v>
      </c>
      <c r="G99" s="56">
        <f t="shared" si="68"/>
        <v>50.893956589839078</v>
      </c>
      <c r="H99" s="141">
        <f t="shared" si="69"/>
        <v>-0.95348725142526636</v>
      </c>
      <c r="I99" s="219">
        <f t="shared" si="70"/>
        <v>-1.6307334980211756</v>
      </c>
      <c r="J99" s="137">
        <f t="shared" si="71"/>
        <v>0</v>
      </c>
      <c r="K99" s="220">
        <f t="shared" si="72"/>
        <v>0</v>
      </c>
      <c r="L99" s="221">
        <f t="shared" si="28"/>
        <v>0</v>
      </c>
      <c r="M99" s="221">
        <f t="shared" si="73"/>
        <v>0</v>
      </c>
      <c r="N99" s="137">
        <f t="shared" si="90"/>
        <v>7737.47</v>
      </c>
      <c r="O99" s="137">
        <f t="shared" si="75"/>
        <v>0</v>
      </c>
      <c r="P99" s="137">
        <f t="shared" si="76"/>
        <v>1.9775780425706782</v>
      </c>
      <c r="Q99" s="137">
        <f t="shared" si="77"/>
        <v>0</v>
      </c>
      <c r="R99" s="137">
        <f t="shared" si="78"/>
        <v>47.461873021696277</v>
      </c>
      <c r="S99" s="137">
        <f t="shared" si="79"/>
        <v>7784.9318730216964</v>
      </c>
      <c r="T99" s="222">
        <f t="shared" si="80"/>
        <v>7792.6105853188428</v>
      </c>
      <c r="U99" s="223">
        <f t="shared" si="87"/>
        <v>14637.950425181845</v>
      </c>
      <c r="V99" s="137">
        <f t="shared" si="88"/>
        <v>-201.3019593531111</v>
      </c>
      <c r="W99" s="224">
        <f t="shared" si="89"/>
        <v>22436.65</v>
      </c>
      <c r="X99" s="242">
        <f t="shared" si="81"/>
        <v>7395.69</v>
      </c>
      <c r="Y99" s="241">
        <f t="shared" si="82"/>
        <v>7402.98</v>
      </c>
      <c r="Z99" s="141">
        <f t="shared" si="83"/>
        <v>0.96241634688288069</v>
      </c>
      <c r="AA99" s="137">
        <f t="shared" si="84"/>
        <v>8000</v>
      </c>
      <c r="AB99" s="221">
        <f t="shared" si="85"/>
        <v>8000</v>
      </c>
      <c r="AC99" s="149"/>
      <c r="AD99" s="149"/>
      <c r="AG99" s="150">
        <v>0.45125699999999996</v>
      </c>
      <c r="AH99" s="150">
        <v>0.42344499999999996</v>
      </c>
    </row>
    <row r="100" spans="1:34">
      <c r="A100" s="243">
        <v>100</v>
      </c>
      <c r="B100" s="150">
        <v>0.50600099999999992</v>
      </c>
      <c r="C100" s="150">
        <v>0.47986599999999996</v>
      </c>
      <c r="D100" s="150">
        <v>0.49554699999999996</v>
      </c>
      <c r="E100" s="160">
        <f t="shared" si="86"/>
        <v>123.97843268154672</v>
      </c>
      <c r="F100" s="244">
        <f t="shared" si="67"/>
        <v>13.397213358477565</v>
      </c>
      <c r="G100" s="245">
        <f t="shared" si="68"/>
        <v>25.158458169922664</v>
      </c>
      <c r="H100" s="141">
        <f t="shared" si="69"/>
        <v>-2.7577547617814728</v>
      </c>
      <c r="I100" s="219">
        <f t="shared" si="70"/>
        <v>-3.4614629482341028</v>
      </c>
      <c r="J100" s="137">
        <f t="shared" si="71"/>
        <v>0</v>
      </c>
      <c r="K100" s="220">
        <f t="shared" si="72"/>
        <v>0</v>
      </c>
      <c r="L100" s="221">
        <f t="shared" si="28"/>
        <v>0</v>
      </c>
      <c r="M100" s="221">
        <f t="shared" si="73"/>
        <v>0</v>
      </c>
      <c r="N100" s="137">
        <f t="shared" si="90"/>
        <v>7755.22</v>
      </c>
      <c r="O100" s="137">
        <f t="shared" si="75"/>
        <v>0</v>
      </c>
      <c r="P100" s="137">
        <f t="shared" si="76"/>
        <v>1.8778874006662551</v>
      </c>
      <c r="Q100" s="137">
        <f t="shared" si="77"/>
        <v>0</v>
      </c>
      <c r="R100" s="137">
        <f t="shared" si="78"/>
        <v>45.069297615990124</v>
      </c>
      <c r="S100" s="137">
        <f t="shared" si="79"/>
        <v>7800.2892976159901</v>
      </c>
      <c r="T100" s="246">
        <f t="shared" si="80"/>
        <v>7807.8728341516735</v>
      </c>
      <c r="U100" s="247">
        <f t="shared" si="87"/>
        <v>15277.55093366761</v>
      </c>
      <c r="V100" s="248">
        <f t="shared" si="88"/>
        <v>-207.34101813370441</v>
      </c>
      <c r="W100" s="249">
        <f t="shared" si="89"/>
        <v>23070.21</v>
      </c>
      <c r="X100" s="225">
        <f t="shared" si="81"/>
        <v>7410.27</v>
      </c>
      <c r="Y100" s="83">
        <f t="shared" si="82"/>
        <v>7417.48</v>
      </c>
      <c r="Z100" s="141">
        <f t="shared" si="83"/>
        <v>0.96431095656386623</v>
      </c>
      <c r="AA100" s="137">
        <f t="shared" si="84"/>
        <v>8000</v>
      </c>
      <c r="AB100" s="221">
        <f t="shared" si="85"/>
        <v>8000</v>
      </c>
      <c r="AC100" s="149"/>
      <c r="AD100" s="149"/>
      <c r="AG100" s="150">
        <v>0.47850899999999996</v>
      </c>
      <c r="AH100" s="150">
        <v>0.45152100000000001</v>
      </c>
    </row>
    <row r="101" spans="1:34">
      <c r="A101" s="250">
        <v>101</v>
      </c>
      <c r="B101" s="150">
        <v>0.53676899999999994</v>
      </c>
      <c r="C101" s="150">
        <v>0.51276299999999997</v>
      </c>
      <c r="D101" s="150">
        <v>0.52716659999999993</v>
      </c>
      <c r="E101" s="160">
        <f t="shared" si="86"/>
        <v>62.541292301504292</v>
      </c>
      <c r="F101" s="244">
        <f t="shared" si="67"/>
        <v>6.6095496042289321</v>
      </c>
      <c r="G101" s="245">
        <f t="shared" si="68"/>
        <v>11.761244811445099</v>
      </c>
      <c r="H101" s="141">
        <f t="shared" si="69"/>
        <v>-6.6250696135033724</v>
      </c>
      <c r="I101" s="219">
        <f t="shared" si="70"/>
        <v>-7.3564444741560013</v>
      </c>
      <c r="J101" s="137">
        <f t="shared" si="71"/>
        <v>0</v>
      </c>
      <c r="K101" s="220">
        <f t="shared" si="72"/>
        <v>0</v>
      </c>
      <c r="L101" s="221">
        <f t="shared" si="28"/>
        <v>0</v>
      </c>
      <c r="M101" s="221">
        <f t="shared" si="73"/>
        <v>0</v>
      </c>
      <c r="N101" s="137">
        <f t="shared" si="90"/>
        <v>7772.75</v>
      </c>
      <c r="O101" s="137">
        <f t="shared" si="75"/>
        <v>0</v>
      </c>
      <c r="P101" s="137">
        <f t="shared" si="76"/>
        <v>1.7794321119732579</v>
      </c>
      <c r="Q101" s="137">
        <f t="shared" si="77"/>
        <v>0</v>
      </c>
      <c r="R101" s="137">
        <f t="shared" si="78"/>
        <v>42.706370687358188</v>
      </c>
      <c r="S101" s="137">
        <f t="shared" si="79"/>
        <v>7815.4563706873578</v>
      </c>
      <c r="T101" s="246">
        <f t="shared" si="80"/>
        <v>7822.6844045868884</v>
      </c>
      <c r="U101" s="223">
        <f t="shared" si="87"/>
        <v>15936.734911091249</v>
      </c>
      <c r="V101" s="233">
        <f t="shared" si="88"/>
        <v>-213.56124867771553</v>
      </c>
      <c r="W101" s="224">
        <f t="shared" si="89"/>
        <v>23723.17</v>
      </c>
      <c r="X101" s="225">
        <f t="shared" si="81"/>
        <v>7424.68</v>
      </c>
      <c r="Y101" s="83">
        <f t="shared" si="82"/>
        <v>7431.55</v>
      </c>
      <c r="Z101" s="141">
        <f t="shared" si="83"/>
        <v>0.96618208849298737</v>
      </c>
      <c r="AA101" s="83"/>
      <c r="AB101" s="37"/>
      <c r="AC101" s="149"/>
      <c r="AD101" s="149"/>
      <c r="AG101" s="150">
        <v>0.50600099999999992</v>
      </c>
      <c r="AH101" s="150">
        <v>0.47986599999999996</v>
      </c>
    </row>
    <row r="102" spans="1:34">
      <c r="A102" s="156">
        <v>102</v>
      </c>
      <c r="B102" s="150">
        <v>0.56940800000000003</v>
      </c>
      <c r="C102" s="150">
        <v>0.54791499999999993</v>
      </c>
      <c r="D102" s="150">
        <v>0.56081080000000005</v>
      </c>
      <c r="E102" s="160">
        <f t="shared" si="86"/>
        <v>29.571611879314105</v>
      </c>
      <c r="F102" s="244">
        <f t="shared" si="67"/>
        <v>3.0564457817469157</v>
      </c>
      <c r="G102" s="245">
        <f t="shared" si="68"/>
        <v>5.1516952072161679</v>
      </c>
      <c r="H102" s="141">
        <f t="shared" si="69"/>
        <v>-15.501451046811052</v>
      </c>
      <c r="I102" s="219">
        <f t="shared" si="70"/>
        <v>-16.26046032087995</v>
      </c>
      <c r="J102" s="137">
        <f t="shared" si="71"/>
        <v>0</v>
      </c>
      <c r="K102" s="220">
        <f t="shared" si="72"/>
        <v>0</v>
      </c>
      <c r="L102" s="221">
        <f t="shared" si="28"/>
        <v>0</v>
      </c>
      <c r="M102" s="221">
        <f t="shared" si="73"/>
        <v>0</v>
      </c>
      <c r="N102" s="137">
        <f t="shared" si="90"/>
        <v>7789.46</v>
      </c>
      <c r="O102" s="137">
        <f t="shared" si="75"/>
        <v>0</v>
      </c>
      <c r="P102" s="137">
        <f t="shared" si="76"/>
        <v>1.685518270267405</v>
      </c>
      <c r="Q102" s="137">
        <f t="shared" si="77"/>
        <v>0</v>
      </c>
      <c r="R102" s="137">
        <f t="shared" si="78"/>
        <v>40.452438486417719</v>
      </c>
      <c r="S102" s="137">
        <f t="shared" si="79"/>
        <v>7829.9124384864181</v>
      </c>
      <c r="T102" s="246">
        <f t="shared" si="80"/>
        <v>7836.8081227421599</v>
      </c>
      <c r="U102" s="223">
        <f t="shared" si="87"/>
        <v>16616.084959969186</v>
      </c>
      <c r="V102" s="137">
        <f t="shared" si="88"/>
        <v>-219.96808613804697</v>
      </c>
      <c r="W102" s="224">
        <f t="shared" si="89"/>
        <v>24396.12</v>
      </c>
      <c r="X102" s="225">
        <f t="shared" si="81"/>
        <v>7438.42</v>
      </c>
      <c r="Y102" s="83">
        <f t="shared" si="82"/>
        <v>7444.97</v>
      </c>
      <c r="Z102" s="141">
        <f t="shared" si="83"/>
        <v>0.96796691072178864</v>
      </c>
      <c r="AA102" s="83"/>
      <c r="AB102" s="37"/>
      <c r="AC102" s="149"/>
      <c r="AD102" s="149"/>
      <c r="AG102" s="150">
        <v>0.53676899999999994</v>
      </c>
      <c r="AH102" s="150">
        <v>0.51276299999999997</v>
      </c>
    </row>
    <row r="103" spans="1:34">
      <c r="A103" s="156">
        <v>103</v>
      </c>
      <c r="B103" s="150">
        <v>0.60403000000000007</v>
      </c>
      <c r="C103" s="150">
        <v>0.58547799999999994</v>
      </c>
      <c r="D103" s="150">
        <v>0.59660920000000006</v>
      </c>
      <c r="E103" s="160">
        <f t="shared" si="86"/>
        <v>12.987532563986457</v>
      </c>
      <c r="F103" s="244">
        <f t="shared" si="67"/>
        <v>1.3128195381210781</v>
      </c>
      <c r="G103" s="245">
        <f t="shared" si="68"/>
        <v>2.0952494254692517</v>
      </c>
      <c r="H103" s="141">
        <f t="shared" si="69"/>
        <v>-37.435051177892099</v>
      </c>
      <c r="I103" s="219">
        <f t="shared" si="70"/>
        <v>-38.221517784291265</v>
      </c>
      <c r="J103" s="137">
        <f t="shared" si="71"/>
        <v>0</v>
      </c>
      <c r="K103" s="220">
        <f t="shared" si="72"/>
        <v>0</v>
      </c>
      <c r="L103" s="221">
        <f t="shared" si="28"/>
        <v>0</v>
      </c>
      <c r="M103" s="221">
        <f t="shared" si="73"/>
        <v>0</v>
      </c>
      <c r="N103" s="137">
        <f t="shared" si="90"/>
        <v>7805.4</v>
      </c>
      <c r="O103" s="137">
        <f t="shared" si="75"/>
        <v>0</v>
      </c>
      <c r="P103" s="137">
        <f t="shared" si="76"/>
        <v>1.5959919582458348</v>
      </c>
      <c r="Q103" s="137">
        <f t="shared" si="77"/>
        <v>0</v>
      </c>
      <c r="R103" s="137">
        <f t="shared" si="78"/>
        <v>38.30380699790004</v>
      </c>
      <c r="S103" s="137">
        <f t="shared" si="79"/>
        <v>7843.7038069978998</v>
      </c>
      <c r="T103" s="246">
        <f t="shared" si="80"/>
        <v>7850.270282548935</v>
      </c>
      <c r="U103" s="223">
        <f t="shared" si="87"/>
        <v>17316.187754059287</v>
      </c>
      <c r="V103" s="137">
        <f t="shared" si="88"/>
        <v>-226.56712872218841</v>
      </c>
      <c r="W103" s="224">
        <f t="shared" si="89"/>
        <v>25089.62</v>
      </c>
      <c r="X103" s="225">
        <f t="shared" si="81"/>
        <v>7451.52</v>
      </c>
      <c r="Y103" s="83">
        <f t="shared" si="82"/>
        <v>7457.76</v>
      </c>
      <c r="Z103" s="141">
        <f t="shared" si="83"/>
        <v>0.96966834843167515</v>
      </c>
      <c r="AA103" s="83"/>
      <c r="AB103" s="37"/>
      <c r="AC103" s="149"/>
      <c r="AD103" s="149"/>
      <c r="AG103" s="150">
        <v>0.56940800000000003</v>
      </c>
      <c r="AH103" s="150">
        <v>0.54791499999999993</v>
      </c>
    </row>
    <row r="104" spans="1:34">
      <c r="A104" s="156">
        <v>104</v>
      </c>
      <c r="B104" s="150">
        <v>0.64075899999999997</v>
      </c>
      <c r="C104" s="150">
        <v>0.62561499999999992</v>
      </c>
      <c r="D104" s="150">
        <v>0.63470139999999997</v>
      </c>
      <c r="E104" s="160">
        <f t="shared" si="86"/>
        <v>5.2390511510125473</v>
      </c>
      <c r="F104" s="244">
        <f t="shared" si="67"/>
        <v>0.51792598898610487</v>
      </c>
      <c r="G104" s="245">
        <f t="shared" si="68"/>
        <v>0.78242988734817365</v>
      </c>
      <c r="H104" s="141">
        <f t="shared" si="69"/>
        <v>-96.446937165083781</v>
      </c>
      <c r="I104" s="219">
        <f t="shared" si="70"/>
        <v>-97.260531000139608</v>
      </c>
      <c r="J104" s="137">
        <f t="shared" si="71"/>
        <v>0</v>
      </c>
      <c r="K104" s="220">
        <f t="shared" si="72"/>
        <v>0</v>
      </c>
      <c r="L104" s="221">
        <f t="shared" si="28"/>
        <v>0</v>
      </c>
      <c r="M104" s="221">
        <f t="shared" si="73"/>
        <v>0</v>
      </c>
      <c r="N104" s="137">
        <f t="shared" si="90"/>
        <v>7820.58</v>
      </c>
      <c r="O104" s="137">
        <f t="shared" si="75"/>
        <v>0</v>
      </c>
      <c r="P104" s="137">
        <f t="shared" si="76"/>
        <v>1.5106982541653553</v>
      </c>
      <c r="Q104" s="137">
        <f t="shared" si="77"/>
        <v>0</v>
      </c>
      <c r="R104" s="137">
        <f t="shared" si="78"/>
        <v>36.256758099968529</v>
      </c>
      <c r="S104" s="137">
        <f t="shared" si="79"/>
        <v>7856.8367580999684</v>
      </c>
      <c r="T104" s="246">
        <f t="shared" si="80"/>
        <v>7863.0922021924998</v>
      </c>
      <c r="U104" s="223">
        <f t="shared" si="87"/>
        <v>18037.648759711265</v>
      </c>
      <c r="V104" s="137">
        <f t="shared" si="88"/>
        <v>-233.36414258385403</v>
      </c>
      <c r="W104" s="224">
        <f t="shared" si="89"/>
        <v>25804.28</v>
      </c>
      <c r="X104" s="225">
        <f t="shared" si="81"/>
        <v>7463.99</v>
      </c>
      <c r="Y104" s="83">
        <f t="shared" si="82"/>
        <v>7469.94</v>
      </c>
      <c r="Z104" s="141">
        <f t="shared" si="83"/>
        <v>0.97128934589333205</v>
      </c>
      <c r="AA104" s="83"/>
      <c r="AB104" s="37"/>
      <c r="AC104" s="149"/>
      <c r="AD104" s="149"/>
      <c r="AG104" s="150">
        <v>0.60403000000000007</v>
      </c>
      <c r="AH104" s="150">
        <v>0.58547799999999994</v>
      </c>
    </row>
    <row r="105" spans="1:34">
      <c r="A105" s="156">
        <v>105</v>
      </c>
      <c r="B105" s="150">
        <v>0.6797200000000001</v>
      </c>
      <c r="C105" s="150">
        <v>0.66850500000000002</v>
      </c>
      <c r="D105" s="150">
        <v>0.67523400000000011</v>
      </c>
      <c r="E105" s="160">
        <f t="shared" si="86"/>
        <v>1.9138180507932723</v>
      </c>
      <c r="F105" s="244">
        <f t="shared" si="67"/>
        <v>0.185034365457447</v>
      </c>
      <c r="G105" s="245">
        <f t="shared" si="68"/>
        <v>0.26450389836206883</v>
      </c>
      <c r="H105" s="141">
        <f t="shared" si="69"/>
        <v>-271.79272683757148</v>
      </c>
      <c r="I105" s="219">
        <f t="shared" si="70"/>
        <v>-272.63295882505929</v>
      </c>
      <c r="J105" s="137">
        <f t="shared" si="71"/>
        <v>0</v>
      </c>
      <c r="K105" s="220">
        <f t="shared" si="72"/>
        <v>0</v>
      </c>
      <c r="L105" s="221">
        <f>IF(K105=0,0,ROUND(H105*500/J105/12,2)*12)</f>
        <v>0</v>
      </c>
      <c r="M105" s="221">
        <f t="shared" si="73"/>
        <v>0</v>
      </c>
      <c r="N105" s="137">
        <f t="shared" si="90"/>
        <v>7835.04</v>
      </c>
      <c r="O105" s="137">
        <f t="shared" si="75"/>
        <v>0</v>
      </c>
      <c r="P105" s="137">
        <f t="shared" si="76"/>
        <v>1.4294852618763823</v>
      </c>
      <c r="Q105" s="137">
        <f t="shared" si="77"/>
        <v>0</v>
      </c>
      <c r="R105" s="137">
        <f t="shared" si="78"/>
        <v>34.307646285033172</v>
      </c>
      <c r="S105" s="137">
        <f t="shared" si="79"/>
        <v>7869.3476462850331</v>
      </c>
      <c r="T105" s="246">
        <f t="shared" si="80"/>
        <v>7875.3002266552712</v>
      </c>
      <c r="U105" s="223">
        <f t="shared" si="87"/>
        <v>18781.091769023678</v>
      </c>
      <c r="V105" s="137">
        <f t="shared" si="88"/>
        <v>-240.36506686136966</v>
      </c>
      <c r="W105" s="224">
        <f t="shared" si="89"/>
        <v>26540.73</v>
      </c>
      <c r="X105" s="225">
        <f t="shared" si="81"/>
        <v>7475.88</v>
      </c>
      <c r="Y105" s="83">
        <f t="shared" si="82"/>
        <v>7481.54</v>
      </c>
      <c r="Z105" s="141">
        <f t="shared" si="83"/>
        <v>0.9728327898763689</v>
      </c>
      <c r="AA105" s="83"/>
      <c r="AB105" s="37"/>
      <c r="AC105" s="149"/>
      <c r="AD105" s="149"/>
      <c r="AG105" s="150">
        <v>0.64075899999999997</v>
      </c>
      <c r="AH105" s="150">
        <v>0.62561499999999992</v>
      </c>
    </row>
    <row r="106" spans="1:34">
      <c r="A106" s="156">
        <v>106</v>
      </c>
      <c r="B106" s="150">
        <v>0.721051</v>
      </c>
      <c r="C106" s="150">
        <v>0.71433399999999991</v>
      </c>
      <c r="D106" s="150">
        <v>0.71836420000000012</v>
      </c>
      <c r="E106" s="160">
        <f t="shared" si="86"/>
        <v>0.62154303308392767</v>
      </c>
      <c r="F106" s="244">
        <f t="shared" ref="F106:F121" si="91">+E106*V^($A106)</f>
        <v>5.8770533723377226E-2</v>
      </c>
      <c r="G106" s="245">
        <f t="shared" ref="G106:G121" si="92">+G107+F106</f>
        <v>7.9469532904621817E-2</v>
      </c>
      <c r="H106" s="141">
        <f t="shared" ref="H106:H121" si="93">(V*Nx-G107)/Dx*SQRT(1+$E$1)+$L$3+$L$2*N_END/Dx+(1-$L$1)*$L$4*(Nx-$H$7)/Dx</f>
        <v>-857.90747770184907</v>
      </c>
      <c r="I106" s="219">
        <f t="shared" ref="I106:I121" si="94">((F107*D107/3+F108*D108*2/3)*SQRT($E$2)+(V*G109-G110)*SQRT(1+$E$1))/Dx+$L$3+$L$2*N_END/Dx+(1-$L$1)*$L$4*(Nx-$H$7)/Dx</f>
        <v>-858.77370020606793</v>
      </c>
      <c r="J106" s="137">
        <f t="shared" si="71"/>
        <v>0</v>
      </c>
      <c r="K106" s="220">
        <f t="shared" si="72"/>
        <v>0</v>
      </c>
      <c r="L106" s="221">
        <f>IF(K106=0,0,ROUND(H106*500/J106/12,2)*12)</f>
        <v>0</v>
      </c>
      <c r="M106" s="221">
        <f t="shared" ref="M106:M122" si="95">K106*ROUND(I106*500/(J106-D106/2*SQRT($E$2))/12,2)*12</f>
        <v>0</v>
      </c>
      <c r="N106" s="137">
        <f t="shared" si="90"/>
        <v>7848.8</v>
      </c>
      <c r="O106" s="137">
        <f t="shared" ref="O106:O122" si="96">+J106*JBeitr</f>
        <v>0</v>
      </c>
      <c r="P106" s="137">
        <f t="shared" ref="P106:P122" si="97">IF(OR(x&gt;X_END,JBeitr=0),Nx/Dx,+N_END/Dx)</f>
        <v>1.3522002927295371</v>
      </c>
      <c r="Q106" s="137">
        <f t="shared" ref="Q106:Q122" si="98">IF(OR(x&gt;X_END,JBeitr=0),0,((N_END/(N_EIN-N_END)*(Nx-N_END)/Dx)))</f>
        <v>0</v>
      </c>
      <c r="R106" s="137">
        <f>+VS*$L$2*(P106-Q106)</f>
        <v>32.452807025508889</v>
      </c>
      <c r="S106" s="137">
        <f t="shared" ref="S106:S122" si="99">IF(x&lt;X_EIN,0,N106-O106+R106)</f>
        <v>7881.2528070255094</v>
      </c>
      <c r="T106" s="246">
        <f>IF(S107=0,0,MAX(0,((12-$S$6)*S106+$S$6*S107)/12))</f>
        <v>7886.910680027996</v>
      </c>
      <c r="U106" s="223">
        <f t="shared" si="87"/>
        <v>19547.16022398623</v>
      </c>
      <c r="V106" s="137">
        <f t="shared" si="88"/>
        <v>-247.57601886721073</v>
      </c>
      <c r="W106" s="224">
        <f t="shared" si="89"/>
        <v>27299.58</v>
      </c>
      <c r="X106" s="225">
        <f t="shared" si="81"/>
        <v>7487.19</v>
      </c>
      <c r="Y106" s="83">
        <f t="shared" si="82"/>
        <v>7492.57</v>
      </c>
      <c r="Z106" s="141">
        <f t="shared" si="83"/>
        <v>0.97430158221176855</v>
      </c>
      <c r="AA106" s="83"/>
      <c r="AB106" s="37"/>
      <c r="AC106" s="149"/>
      <c r="AD106" s="149"/>
      <c r="AG106" s="150">
        <v>0.6797200000000001</v>
      </c>
      <c r="AH106" s="150">
        <v>0.66850500000000002</v>
      </c>
    </row>
    <row r="107" spans="1:34">
      <c r="A107" s="156">
        <v>107</v>
      </c>
      <c r="B107" s="150">
        <v>0.76489600000000002</v>
      </c>
      <c r="C107" s="150">
        <v>0.76330599999999993</v>
      </c>
      <c r="D107" s="150">
        <v>0.76426000000000005</v>
      </c>
      <c r="E107" s="160">
        <f t="shared" ref="E107:E131" si="100">+E106*(1-D106)</f>
        <v>0.17504876935701835</v>
      </c>
      <c r="F107" s="244">
        <f t="shared" si="91"/>
        <v>1.6187663845095662E-2</v>
      </c>
      <c r="G107" s="245">
        <f t="shared" si="92"/>
        <v>2.0698999181244591E-2</v>
      </c>
      <c r="H107" s="141">
        <f t="shared" si="93"/>
        <v>-3117.3836940677984</v>
      </c>
      <c r="I107" s="219">
        <f t="shared" si="94"/>
        <v>-3118.2751079601653</v>
      </c>
      <c r="J107" s="137">
        <f t="shared" si="71"/>
        <v>0</v>
      </c>
      <c r="K107" s="220">
        <f t="shared" si="72"/>
        <v>0</v>
      </c>
      <c r="L107" s="221">
        <f>IF(K107=0,0,ROUND(H107*500/J107/12,2)*12)</f>
        <v>0</v>
      </c>
      <c r="M107" s="221">
        <f t="shared" si="95"/>
        <v>0</v>
      </c>
      <c r="N107" s="137">
        <f t="shared" si="90"/>
        <v>7861.88</v>
      </c>
      <c r="O107" s="137">
        <f t="shared" si="96"/>
        <v>0</v>
      </c>
      <c r="P107" s="137">
        <f t="shared" si="97"/>
        <v>1.2786897096035088</v>
      </c>
      <c r="Q107" s="137">
        <f t="shared" si="98"/>
        <v>0</v>
      </c>
      <c r="R107" s="137">
        <f>+VS*$L$2*(P107-Q107)</f>
        <v>30.688553030484211</v>
      </c>
      <c r="S107" s="137">
        <f t="shared" si="99"/>
        <v>7892.5685530304845</v>
      </c>
      <c r="T107" s="246">
        <f>IF(S108=0,0,MAX(0,((12-$S$6)*S107+$S$6*S108)/12))</f>
        <v>7897.9497602551046</v>
      </c>
      <c r="U107" s="223">
        <f t="shared" si="87"/>
        <v>20336.517290486721</v>
      </c>
      <c r="V107" s="137">
        <f t="shared" si="88"/>
        <v>-255.00329943322706</v>
      </c>
      <c r="W107" s="224">
        <f>IF(x&lt;X_EIN,0,ROUND(VS+V107+U107,2))</f>
        <v>28081.51</v>
      </c>
      <c r="X107" s="225">
        <f t="shared" si="81"/>
        <v>7497.94</v>
      </c>
      <c r="Y107" s="83">
        <f t="shared" si="82"/>
        <v>7503.05</v>
      </c>
      <c r="Z107" s="141">
        <f t="shared" si="83"/>
        <v>0.97569864275611706</v>
      </c>
      <c r="AA107" s="83"/>
      <c r="AB107" s="37"/>
      <c r="AC107" s="149"/>
      <c r="AD107" s="149"/>
      <c r="AG107" s="150">
        <v>0.721051</v>
      </c>
      <c r="AH107" s="150">
        <v>0.71433399999999991</v>
      </c>
    </row>
    <row r="108" spans="1:34">
      <c r="A108" s="156">
        <v>108</v>
      </c>
      <c r="B108" s="150">
        <v>0.81140599999999996</v>
      </c>
      <c r="C108" s="150">
        <v>0.81563399999999997</v>
      </c>
      <c r="D108" s="150">
        <v>0.81309720000000008</v>
      </c>
      <c r="E108" s="160">
        <f t="shared" si="100"/>
        <v>4.1265996888223501E-2</v>
      </c>
      <c r="F108" s="244">
        <f t="shared" si="91"/>
        <v>3.7321074570590236E-3</v>
      </c>
      <c r="G108" s="245">
        <f t="shared" si="92"/>
        <v>4.5113353361489281E-3</v>
      </c>
      <c r="H108" s="141">
        <f t="shared" si="93"/>
        <v>-13524.771048220709</v>
      </c>
      <c r="I108" s="219">
        <f t="shared" si="94"/>
        <v>-13525.686718767671</v>
      </c>
      <c r="J108" s="137">
        <f t="shared" si="71"/>
        <v>0</v>
      </c>
      <c r="K108" s="220">
        <f t="shared" si="72"/>
        <v>0</v>
      </c>
      <c r="L108" s="221">
        <f>IF(K108=0,0,ROUND(H108*500/J108/12,2)*12)</f>
        <v>0</v>
      </c>
      <c r="M108" s="221">
        <f t="shared" si="95"/>
        <v>0</v>
      </c>
      <c r="N108" s="137">
        <f t="shared" si="90"/>
        <v>7874.32</v>
      </c>
      <c r="O108" s="137">
        <f t="shared" si="96"/>
        <v>0</v>
      </c>
      <c r="P108" s="137">
        <f t="shared" si="97"/>
        <v>1.2087903116551613</v>
      </c>
      <c r="Q108" s="137">
        <f t="shared" si="98"/>
        <v>0</v>
      </c>
      <c r="R108" s="137">
        <f>+VS*$L$2*(P108-Q108)</f>
        <v>29.01096747972387</v>
      </c>
      <c r="S108" s="137">
        <f t="shared" si="99"/>
        <v>7903.3309674797238</v>
      </c>
      <c r="T108" s="246">
        <f>IF(S109=0,0,MAX(0,((12-$S$6)*S108+$S$6*S109)/12))</f>
        <v>7908.4573791101238</v>
      </c>
      <c r="U108" s="223">
        <f t="shared" si="87"/>
        <v>21149.846449441859</v>
      </c>
      <c r="V108" s="137">
        <f t="shared" si="88"/>
        <v>-262.65339841622387</v>
      </c>
      <c r="W108" s="224">
        <f>IF(x&lt;X_EIN,0,ROUND(VS+V108+U108,2))</f>
        <v>28887.19</v>
      </c>
      <c r="X108" s="225">
        <f t="shared" si="81"/>
        <v>7508.16</v>
      </c>
      <c r="Y108" s="83">
        <f t="shared" si="82"/>
        <v>7513.03</v>
      </c>
      <c r="Z108" s="141">
        <f t="shared" si="83"/>
        <v>0.97702707312348269</v>
      </c>
      <c r="AA108" s="83"/>
      <c r="AB108" s="37"/>
      <c r="AC108" s="149"/>
      <c r="AD108" s="149"/>
      <c r="AG108" s="150">
        <v>0.76489600000000002</v>
      </c>
      <c r="AH108" s="150">
        <v>0.76330599999999993</v>
      </c>
    </row>
    <row r="109" spans="1:34">
      <c r="A109" s="156">
        <v>109</v>
      </c>
      <c r="B109" s="150">
        <v>0.86074499999999998</v>
      </c>
      <c r="C109" s="150">
        <v>0.87154899999999991</v>
      </c>
      <c r="D109" s="150">
        <v>0.86506660000000002</v>
      </c>
      <c r="E109" s="160">
        <f t="shared" si="100"/>
        <v>7.7127303632002564E-3</v>
      </c>
      <c r="F109" s="244">
        <f t="shared" si="91"/>
        <v>6.821920133253897E-4</v>
      </c>
      <c r="G109" s="245">
        <f t="shared" si="92"/>
        <v>7.7922787908990445E-4</v>
      </c>
      <c r="H109" s="141">
        <f t="shared" si="93"/>
        <v>-73995.330372681521</v>
      </c>
      <c r="I109" s="219">
        <f t="shared" si="94"/>
        <v>-73996.269331048112</v>
      </c>
      <c r="J109" s="137">
        <f t="shared" si="71"/>
        <v>0</v>
      </c>
      <c r="K109" s="220">
        <f t="shared" si="72"/>
        <v>0</v>
      </c>
      <c r="L109" s="221">
        <f>IF(K109=0,0,ROUND(H109*500/J109/12,2)*12)</f>
        <v>0</v>
      </c>
      <c r="M109" s="221">
        <f t="shared" si="95"/>
        <v>0</v>
      </c>
      <c r="N109" s="137">
        <f t="shared" si="90"/>
        <v>7886.17</v>
      </c>
      <c r="O109" s="137">
        <f t="shared" si="96"/>
        <v>0</v>
      </c>
      <c r="P109" s="137">
        <f t="shared" si="97"/>
        <v>1.1422412808550881</v>
      </c>
      <c r="Q109" s="137">
        <f t="shared" si="98"/>
        <v>0</v>
      </c>
      <c r="R109" s="137">
        <f>+VS*$L$2*(P109-Q109)</f>
        <v>27.413790740522117</v>
      </c>
      <c r="S109" s="137">
        <f t="shared" si="99"/>
        <v>7913.5837907405221</v>
      </c>
      <c r="T109" s="246">
        <f>IF(S110=0,0,MAX(0,((12-$S$6)*S109+$S$6*S110)/12))</f>
        <v>7918.5414283775963</v>
      </c>
      <c r="U109" s="223">
        <f t="shared" si="87"/>
        <v>21987.852615337717</v>
      </c>
      <c r="V109" s="137">
        <f t="shared" si="88"/>
        <v>-270.53300036871053</v>
      </c>
      <c r="W109" s="224">
        <f>IF(x&lt;X_EIN,0,ROUND(VS+V109+U109,2))</f>
        <v>29717.32</v>
      </c>
      <c r="X109" s="225">
        <f t="shared" si="81"/>
        <v>7517.9</v>
      </c>
      <c r="Y109" s="83">
        <f t="shared" si="82"/>
        <v>7522.61</v>
      </c>
      <c r="Z109" s="141">
        <f t="shared" si="83"/>
        <v>0.97829183013181764</v>
      </c>
      <c r="AA109" s="83"/>
      <c r="AB109" s="37"/>
      <c r="AC109" s="149"/>
      <c r="AD109" s="149"/>
      <c r="AG109" s="150">
        <v>0.81140599999999996</v>
      </c>
      <c r="AH109" s="150">
        <v>0.81563399999999997</v>
      </c>
    </row>
    <row r="110" spans="1:34">
      <c r="A110" s="251">
        <v>110</v>
      </c>
      <c r="B110" s="150">
        <v>0.91308400000000001</v>
      </c>
      <c r="C110" s="150">
        <v>0.93129899999999999</v>
      </c>
      <c r="D110" s="150">
        <v>0.92037000000000013</v>
      </c>
      <c r="E110" s="160">
        <f t="shared" si="100"/>
        <v>1.0407049311898454E-3</v>
      </c>
      <c r="F110" s="244">
        <f t="shared" si="91"/>
        <v>9.0024926954366879E-5</v>
      </c>
      <c r="G110" s="245">
        <f t="shared" si="92"/>
        <v>9.7035865764514775E-5</v>
      </c>
      <c r="H110" s="141">
        <f t="shared" si="93"/>
        <v>-560729.48560119246</v>
      </c>
      <c r="I110" s="219">
        <f t="shared" si="94"/>
        <v>-560730.44713263598</v>
      </c>
      <c r="J110" s="252"/>
      <c r="K110" s="252"/>
      <c r="L110" s="253"/>
      <c r="M110" s="221">
        <f t="shared" si="95"/>
        <v>0</v>
      </c>
      <c r="N110" s="137">
        <f t="shared" si="90"/>
        <v>7897.63</v>
      </c>
      <c r="O110" s="137">
        <f t="shared" si="96"/>
        <v>0</v>
      </c>
      <c r="P110" s="137">
        <f t="shared" si="97"/>
        <v>1.0778777506112469</v>
      </c>
      <c r="Q110" s="137">
        <f t="shared" si="98"/>
        <v>0</v>
      </c>
      <c r="R110" s="137">
        <f>+VS*$L$2*(P110-Q110)</f>
        <v>25.869066014669926</v>
      </c>
      <c r="S110" s="137">
        <f t="shared" si="99"/>
        <v>7923.4990660146705</v>
      </c>
      <c r="T110" s="246" t="e">
        <f>IF(S111=0,0,MAX(0,((12-$S$6)*S110+$S$6*S111)/12))</f>
        <v>#VALUE!</v>
      </c>
      <c r="U110" s="254">
        <f t="shared" si="87"/>
        <v>22851.262976409416</v>
      </c>
      <c r="V110" s="255">
        <f t="shared" si="88"/>
        <v>-278.64899037977187</v>
      </c>
      <c r="W110" s="256">
        <f>IF(x&lt;X_EIN,0,ROUND(VS+V110+U110,2))</f>
        <v>30572.61</v>
      </c>
      <c r="X110" s="257">
        <f t="shared" si="81"/>
        <v>7527.32</v>
      </c>
      <c r="Y110" s="256" t="e">
        <f t="shared" si="82"/>
        <v>#VALUE!</v>
      </c>
      <c r="Z110" s="141">
        <f t="shared" si="83"/>
        <v>0.97951505194253985</v>
      </c>
      <c r="AA110" s="256"/>
      <c r="AB110" s="253"/>
      <c r="AC110" s="149"/>
      <c r="AD110" s="149"/>
      <c r="AG110" s="150">
        <v>0.86074499999999998</v>
      </c>
      <c r="AH110" s="150">
        <v>0.87154899999999991</v>
      </c>
    </row>
    <row r="111" spans="1:34">
      <c r="A111" s="258">
        <f t="shared" ref="A111:A121" si="101">A110+1</f>
        <v>111</v>
      </c>
      <c r="B111" s="150">
        <v>1</v>
      </c>
      <c r="C111" s="150">
        <v>1</v>
      </c>
      <c r="D111" s="150">
        <v>1</v>
      </c>
      <c r="E111" s="160">
        <f t="shared" si="100"/>
        <v>8.2871333670647251E-5</v>
      </c>
      <c r="F111" s="244">
        <f t="shared" si="91"/>
        <v>7.0109388101478954E-6</v>
      </c>
      <c r="G111" s="245">
        <f t="shared" si="92"/>
        <v>7.0109388101478954E-6</v>
      </c>
      <c r="H111" s="141">
        <f t="shared" si="93"/>
        <v>-7200136.4790633144</v>
      </c>
      <c r="I111" s="219">
        <f t="shared" si="94"/>
        <v>-7200137.4679996669</v>
      </c>
      <c r="J111" s="149"/>
      <c r="K111" s="149"/>
      <c r="L111" s="149"/>
      <c r="M111" s="221">
        <f t="shared" si="95"/>
        <v>0</v>
      </c>
      <c r="N111" s="137">
        <f t="shared" ref="N111:N120" si="102">ROUND(VS*IF(A111&gt;=EA,1*POWER(1+E1,A111-EA),((V*Nx-G112)/Dx*SQRT(1+$E$1)+IF(x&gt;MIN(X_END,65),0,(1-$L$1)*$L$4*(Nx-$H$7)/Dx))),2)</f>
        <v>8000</v>
      </c>
      <c r="O111" s="137">
        <f t="shared" si="96"/>
        <v>0</v>
      </c>
      <c r="P111" s="137" t="e">
        <f t="shared" si="97"/>
        <v>#VALUE!</v>
      </c>
      <c r="Q111" s="137" t="e">
        <f t="shared" si="98"/>
        <v>#VALUE!</v>
      </c>
      <c r="R111" s="149"/>
      <c r="S111" s="137" t="e">
        <f t="shared" si="99"/>
        <v>#VALUE!</v>
      </c>
      <c r="T111" s="149"/>
      <c r="U111" s="149"/>
      <c r="V111" s="149"/>
      <c r="W111" s="149"/>
      <c r="X111" s="149"/>
      <c r="Y111" s="149"/>
      <c r="AA111" s="149"/>
      <c r="AB111" s="149"/>
      <c r="AC111" s="149"/>
      <c r="AD111" s="149"/>
      <c r="AG111" s="150">
        <v>0.91308400000000001</v>
      </c>
      <c r="AH111" s="150">
        <v>0.93129899999999999</v>
      </c>
    </row>
    <row r="112" spans="1:34">
      <c r="A112" s="258">
        <f t="shared" si="101"/>
        <v>112</v>
      </c>
      <c r="B112" s="150">
        <v>0</v>
      </c>
      <c r="C112" s="150">
        <v>0</v>
      </c>
      <c r="D112" s="150">
        <v>0</v>
      </c>
      <c r="E112" s="160">
        <f t="shared" si="100"/>
        <v>0</v>
      </c>
      <c r="F112" s="244">
        <f t="shared" si="91"/>
        <v>0</v>
      </c>
      <c r="G112" s="245">
        <f t="shared" si="92"/>
        <v>0</v>
      </c>
      <c r="H112" s="141" t="e">
        <f t="shared" si="93"/>
        <v>#DIV/0!</v>
      </c>
      <c r="I112" s="219" t="e">
        <f t="shared" si="94"/>
        <v>#DIV/0!</v>
      </c>
      <c r="J112" s="149"/>
      <c r="K112" s="149"/>
      <c r="L112" s="149"/>
      <c r="M112" s="221" t="e">
        <f t="shared" si="95"/>
        <v>#DIV/0!</v>
      </c>
      <c r="N112" s="137">
        <f t="shared" si="102"/>
        <v>15823.96</v>
      </c>
      <c r="O112" s="137">
        <f t="shared" si="96"/>
        <v>0</v>
      </c>
      <c r="P112" s="137" t="e">
        <f t="shared" si="97"/>
        <v>#VALUE!</v>
      </c>
      <c r="Q112" s="137" t="e">
        <f t="shared" si="98"/>
        <v>#VALUE!</v>
      </c>
      <c r="R112" s="149"/>
      <c r="S112" s="137" t="e">
        <f t="shared" si="99"/>
        <v>#VALUE!</v>
      </c>
      <c r="T112" s="149"/>
      <c r="U112" s="149"/>
      <c r="V112" s="149"/>
      <c r="W112" s="149"/>
      <c r="X112" s="149"/>
      <c r="Y112" s="149"/>
      <c r="AA112" s="149"/>
      <c r="AB112" s="149"/>
      <c r="AC112" s="149"/>
      <c r="AD112" s="149"/>
      <c r="AG112" s="150">
        <v>1</v>
      </c>
      <c r="AH112" s="150">
        <v>1</v>
      </c>
    </row>
    <row r="113" spans="1:30">
      <c r="A113" s="258">
        <f t="shared" si="101"/>
        <v>113</v>
      </c>
      <c r="B113" s="150">
        <v>0</v>
      </c>
      <c r="C113" s="150">
        <v>0</v>
      </c>
      <c r="D113" s="150">
        <v>0</v>
      </c>
      <c r="E113" s="160">
        <f t="shared" si="100"/>
        <v>0</v>
      </c>
      <c r="F113" s="244">
        <f t="shared" si="91"/>
        <v>0</v>
      </c>
      <c r="G113" s="245">
        <f t="shared" si="92"/>
        <v>0</v>
      </c>
      <c r="H113" s="141" t="e">
        <f t="shared" si="93"/>
        <v>#DIV/0!</v>
      </c>
      <c r="I113" s="219" t="e">
        <f t="shared" si="94"/>
        <v>#DIV/0!</v>
      </c>
      <c r="J113" s="149"/>
      <c r="K113" s="149"/>
      <c r="L113" s="149"/>
      <c r="M113" s="221" t="e">
        <f t="shared" si="95"/>
        <v>#DIV/0!</v>
      </c>
      <c r="N113" s="137">
        <f t="shared" si="102"/>
        <v>15202.1</v>
      </c>
      <c r="O113" s="137">
        <f t="shared" si="96"/>
        <v>0</v>
      </c>
      <c r="P113" s="137" t="e">
        <f t="shared" si="97"/>
        <v>#VALUE!</v>
      </c>
      <c r="Q113" s="137" t="e">
        <f t="shared" si="98"/>
        <v>#VALUE!</v>
      </c>
      <c r="R113" s="149"/>
      <c r="S113" s="137" t="e">
        <f t="shared" si="99"/>
        <v>#VALUE!</v>
      </c>
      <c r="T113" s="149"/>
      <c r="U113" s="149"/>
      <c r="V113" s="149"/>
      <c r="W113" s="149"/>
      <c r="X113" s="149"/>
      <c r="Y113" s="149"/>
      <c r="AA113" s="149"/>
      <c r="AB113" s="149"/>
      <c r="AC113" s="149"/>
      <c r="AD113" s="149"/>
    </row>
    <row r="114" spans="1:30">
      <c r="A114" s="258">
        <f t="shared" si="101"/>
        <v>114</v>
      </c>
      <c r="B114" s="150">
        <v>0</v>
      </c>
      <c r="C114" s="150">
        <v>0</v>
      </c>
      <c r="D114" s="150">
        <v>0</v>
      </c>
      <c r="E114" s="160">
        <f t="shared" si="100"/>
        <v>0</v>
      </c>
      <c r="F114" s="244">
        <f t="shared" si="91"/>
        <v>0</v>
      </c>
      <c r="G114" s="245">
        <f t="shared" si="92"/>
        <v>0</v>
      </c>
      <c r="H114" s="141" t="e">
        <f t="shared" si="93"/>
        <v>#DIV/0!</v>
      </c>
      <c r="I114" s="219" t="e">
        <f t="shared" si="94"/>
        <v>#DIV/0!</v>
      </c>
      <c r="M114" s="221" t="e">
        <f t="shared" si="95"/>
        <v>#DIV/0!</v>
      </c>
      <c r="N114" s="137">
        <f t="shared" si="102"/>
        <v>1000000</v>
      </c>
      <c r="O114" s="137">
        <f t="shared" si="96"/>
        <v>0</v>
      </c>
      <c r="P114" s="137" t="e">
        <f t="shared" si="97"/>
        <v>#VALUE!</v>
      </c>
      <c r="Q114" s="137" t="e">
        <f t="shared" si="98"/>
        <v>#VALUE!</v>
      </c>
      <c r="S114" s="137" t="e">
        <f t="shared" si="99"/>
        <v>#VALUE!</v>
      </c>
    </row>
    <row r="115" spans="1:30">
      <c r="A115" s="258">
        <f t="shared" si="101"/>
        <v>115</v>
      </c>
      <c r="B115" s="150">
        <v>0</v>
      </c>
      <c r="C115" s="150">
        <v>0</v>
      </c>
      <c r="D115" s="150">
        <v>0</v>
      </c>
      <c r="E115" s="160">
        <f t="shared" si="100"/>
        <v>0</v>
      </c>
      <c r="F115" s="244">
        <f t="shared" si="91"/>
        <v>0</v>
      </c>
      <c r="G115" s="245">
        <f t="shared" si="92"/>
        <v>0</v>
      </c>
      <c r="H115" s="141" t="e">
        <f t="shared" si="93"/>
        <v>#DIV/0!</v>
      </c>
      <c r="I115" s="219" t="e">
        <f t="shared" si="94"/>
        <v>#DIV/0!</v>
      </c>
      <c r="M115" s="221" t="e">
        <f t="shared" si="95"/>
        <v>#DIV/0!</v>
      </c>
      <c r="N115" s="137">
        <f t="shared" si="102"/>
        <v>8000</v>
      </c>
      <c r="O115" s="137">
        <f t="shared" si="96"/>
        <v>0</v>
      </c>
      <c r="P115" s="137" t="e">
        <f t="shared" si="97"/>
        <v>#VALUE!</v>
      </c>
      <c r="Q115" s="137" t="e">
        <f t="shared" si="98"/>
        <v>#VALUE!</v>
      </c>
      <c r="S115" s="137" t="e">
        <f t="shared" si="99"/>
        <v>#VALUE!</v>
      </c>
    </row>
    <row r="116" spans="1:30">
      <c r="A116" s="258">
        <f t="shared" si="101"/>
        <v>116</v>
      </c>
      <c r="B116" s="150">
        <v>0</v>
      </c>
      <c r="C116" s="150">
        <v>0</v>
      </c>
      <c r="D116" s="150">
        <v>0</v>
      </c>
      <c r="E116" s="160">
        <f t="shared" si="100"/>
        <v>0</v>
      </c>
      <c r="F116" s="244">
        <f t="shared" si="91"/>
        <v>0</v>
      </c>
      <c r="G116" s="245">
        <f t="shared" si="92"/>
        <v>0</v>
      </c>
      <c r="H116" s="141" t="e">
        <f t="shared" si="93"/>
        <v>#DIV/0!</v>
      </c>
      <c r="I116" s="219" t="e">
        <f t="shared" si="94"/>
        <v>#DIV/0!</v>
      </c>
      <c r="M116" s="221" t="e">
        <f t="shared" si="95"/>
        <v>#DIV/0!</v>
      </c>
      <c r="N116" s="137">
        <f t="shared" si="102"/>
        <v>140987334656000</v>
      </c>
      <c r="O116" s="137">
        <f t="shared" si="96"/>
        <v>0</v>
      </c>
      <c r="P116" s="137" t="e">
        <f t="shared" si="97"/>
        <v>#VALUE!</v>
      </c>
      <c r="Q116" s="137" t="e">
        <f t="shared" si="98"/>
        <v>#VALUE!</v>
      </c>
      <c r="S116" s="137" t="e">
        <f t="shared" si="99"/>
        <v>#VALUE!</v>
      </c>
    </row>
    <row r="117" spans="1:30">
      <c r="A117" s="258">
        <f t="shared" si="101"/>
        <v>117</v>
      </c>
      <c r="B117" s="150">
        <v>0</v>
      </c>
      <c r="C117" s="150">
        <v>0</v>
      </c>
      <c r="D117" s="150">
        <v>0</v>
      </c>
      <c r="E117" s="160">
        <f t="shared" si="100"/>
        <v>0</v>
      </c>
      <c r="F117" s="244">
        <f t="shared" si="91"/>
        <v>0</v>
      </c>
      <c r="G117" s="245">
        <f t="shared" si="92"/>
        <v>0</v>
      </c>
      <c r="H117" s="141" t="e">
        <f t="shared" si="93"/>
        <v>#DIV/0!</v>
      </c>
      <c r="I117" s="219" t="e">
        <f t="shared" si="94"/>
        <v>#DIV/0!</v>
      </c>
      <c r="M117" s="221" t="e">
        <f t="shared" si="95"/>
        <v>#DIV/0!</v>
      </c>
      <c r="N117" s="137">
        <f t="shared" si="102"/>
        <v>8000</v>
      </c>
      <c r="O117" s="137">
        <f t="shared" si="96"/>
        <v>0</v>
      </c>
      <c r="P117" s="137" t="e">
        <f t="shared" si="97"/>
        <v>#VALUE!</v>
      </c>
      <c r="Q117" s="137" t="e">
        <f t="shared" si="98"/>
        <v>#VALUE!</v>
      </c>
      <c r="S117" s="137" t="e">
        <f t="shared" si="99"/>
        <v>#VALUE!</v>
      </c>
    </row>
    <row r="118" spans="1:30">
      <c r="A118" s="258">
        <f t="shared" si="101"/>
        <v>118</v>
      </c>
      <c r="B118" s="150">
        <v>0</v>
      </c>
      <c r="C118" s="150">
        <v>0</v>
      </c>
      <c r="D118" s="150">
        <v>0</v>
      </c>
      <c r="E118" s="160">
        <f t="shared" si="100"/>
        <v>0</v>
      </c>
      <c r="F118" s="244">
        <f t="shared" si="91"/>
        <v>0</v>
      </c>
      <c r="G118" s="245">
        <f t="shared" si="92"/>
        <v>0</v>
      </c>
      <c r="H118" s="141" t="e">
        <f t="shared" si="93"/>
        <v>#DIV/0!</v>
      </c>
      <c r="I118" s="219" t="e">
        <f t="shared" si="94"/>
        <v>#DIV/0!</v>
      </c>
      <c r="M118" s="221" t="e">
        <f t="shared" si="95"/>
        <v>#DIV/0!</v>
      </c>
      <c r="N118" s="137" t="e">
        <f t="shared" si="102"/>
        <v>#VALUE!</v>
      </c>
      <c r="O118" s="137">
        <f t="shared" si="96"/>
        <v>0</v>
      </c>
      <c r="P118" s="137" t="e">
        <f t="shared" si="97"/>
        <v>#VALUE!</v>
      </c>
      <c r="Q118" s="137" t="e">
        <f t="shared" si="98"/>
        <v>#VALUE!</v>
      </c>
      <c r="S118" s="137" t="e">
        <f t="shared" si="99"/>
        <v>#VALUE!</v>
      </c>
    </row>
    <row r="119" spans="1:30">
      <c r="A119" s="258">
        <f t="shared" si="101"/>
        <v>119</v>
      </c>
      <c r="B119" s="150">
        <v>0</v>
      </c>
      <c r="C119" s="150">
        <v>0</v>
      </c>
      <c r="D119" s="150">
        <v>0</v>
      </c>
      <c r="E119" s="160">
        <f t="shared" si="100"/>
        <v>0</v>
      </c>
      <c r="F119" s="244">
        <f t="shared" si="91"/>
        <v>0</v>
      </c>
      <c r="G119" s="245">
        <f t="shared" si="92"/>
        <v>0</v>
      </c>
      <c r="H119" s="141" t="e">
        <f t="shared" si="93"/>
        <v>#DIV/0!</v>
      </c>
      <c r="I119" s="219" t="e">
        <f t="shared" si="94"/>
        <v>#DIV/0!</v>
      </c>
      <c r="M119" s="221" t="e">
        <f t="shared" si="95"/>
        <v>#DIV/0!</v>
      </c>
      <c r="N119" s="137">
        <f t="shared" si="102"/>
        <v>8000</v>
      </c>
      <c r="O119" s="137">
        <f t="shared" si="96"/>
        <v>0</v>
      </c>
      <c r="P119" s="137" t="e">
        <f t="shared" si="97"/>
        <v>#VALUE!</v>
      </c>
      <c r="Q119" s="137" t="e">
        <f t="shared" si="98"/>
        <v>#VALUE!</v>
      </c>
      <c r="S119" s="137" t="e">
        <f t="shared" si="99"/>
        <v>#VALUE!</v>
      </c>
    </row>
    <row r="120" spans="1:30">
      <c r="A120" s="258">
        <f t="shared" si="101"/>
        <v>120</v>
      </c>
      <c r="B120" s="150">
        <v>0</v>
      </c>
      <c r="C120" s="150">
        <v>0</v>
      </c>
      <c r="D120" s="150">
        <v>0</v>
      </c>
      <c r="E120" s="160">
        <f t="shared" si="100"/>
        <v>0</v>
      </c>
      <c r="F120" s="244">
        <f t="shared" si="91"/>
        <v>0</v>
      </c>
      <c r="G120" s="245">
        <f t="shared" si="92"/>
        <v>0</v>
      </c>
      <c r="H120" s="141" t="e">
        <f t="shared" si="93"/>
        <v>#DIV/0!</v>
      </c>
      <c r="I120" s="219" t="e">
        <f t="shared" si="94"/>
        <v>#DIV/0!</v>
      </c>
      <c r="M120" s="221" t="e">
        <f t="shared" si="95"/>
        <v>#DIV/0!</v>
      </c>
      <c r="N120" s="137">
        <f t="shared" si="102"/>
        <v>7.5032997971429501E+48</v>
      </c>
      <c r="O120" s="137">
        <f t="shared" si="96"/>
        <v>0</v>
      </c>
      <c r="P120" s="137" t="e">
        <f t="shared" si="97"/>
        <v>#VALUE!</v>
      </c>
      <c r="Q120" s="137" t="e">
        <f t="shared" si="98"/>
        <v>#VALUE!</v>
      </c>
      <c r="S120" s="137" t="e">
        <f t="shared" si="99"/>
        <v>#VALUE!</v>
      </c>
    </row>
    <row r="121" spans="1:30">
      <c r="A121" s="258">
        <f t="shared" si="101"/>
        <v>121</v>
      </c>
      <c r="B121" s="150">
        <v>0</v>
      </c>
      <c r="C121" s="150">
        <v>0</v>
      </c>
      <c r="D121" s="150">
        <v>0</v>
      </c>
      <c r="E121" s="259">
        <f t="shared" si="100"/>
        <v>0</v>
      </c>
      <c r="F121" s="244">
        <f t="shared" si="91"/>
        <v>0</v>
      </c>
      <c r="G121" s="245">
        <f t="shared" si="92"/>
        <v>0</v>
      </c>
      <c r="H121" s="141" t="e">
        <f t="shared" si="93"/>
        <v>#DIV/0!</v>
      </c>
      <c r="I121" s="219" t="e">
        <f t="shared" si="94"/>
        <v>#DIV/0!</v>
      </c>
      <c r="M121" s="221" t="e">
        <f t="shared" si="95"/>
        <v>#DIV/0!</v>
      </c>
      <c r="N121" s="137" t="e">
        <f>ROUND(VS*IF(D121=1,1,((V*Nx-G122)/Dx*SQRT(1+$E$1)+IF(x&gt;MIN(X_END,65),0,(1-$L$1)*$L$4*(Nx-$H$7)/Dx))),2)</f>
        <v>#DIV/0!</v>
      </c>
      <c r="O121" s="137">
        <f t="shared" si="96"/>
        <v>0</v>
      </c>
      <c r="P121" s="137" t="e">
        <f t="shared" si="97"/>
        <v>#VALUE!</v>
      </c>
      <c r="Q121" s="137" t="e">
        <f t="shared" si="98"/>
        <v>#VALUE!</v>
      </c>
      <c r="S121" s="137" t="e">
        <f t="shared" si="99"/>
        <v>#VALUE!</v>
      </c>
    </row>
    <row r="122" spans="1:30">
      <c r="D122" s="259">
        <v>0</v>
      </c>
      <c r="E122" s="259">
        <f t="shared" si="100"/>
        <v>0</v>
      </c>
      <c r="M122" s="221" t="e">
        <f t="shared" si="95"/>
        <v>#DIV/0!</v>
      </c>
      <c r="N122" s="137" t="e">
        <f>ROUND(VS*IF(Dx=0,1,((V*Nx-G123)/Dx*SQRT(1+$E$1)+IF(x&gt;MIN(X_END,65),0,(1-$L$1)*$L$4*(Nx-$H$7)/Dx))),2)</f>
        <v>#VALUE!</v>
      </c>
      <c r="O122" s="137">
        <f t="shared" si="96"/>
        <v>0</v>
      </c>
      <c r="P122" s="137" t="e">
        <f t="shared" si="97"/>
        <v>#VALUE!</v>
      </c>
      <c r="Q122" s="137" t="e">
        <f t="shared" si="98"/>
        <v>#VALUE!</v>
      </c>
      <c r="S122" s="137" t="e">
        <f t="shared" si="99"/>
        <v>#VALUE!</v>
      </c>
    </row>
    <row r="123" spans="1:30">
      <c r="D123" s="259">
        <v>0</v>
      </c>
      <c r="E123" s="259">
        <f t="shared" si="100"/>
        <v>0</v>
      </c>
    </row>
    <row r="124" spans="1:30">
      <c r="D124" s="259">
        <v>0</v>
      </c>
      <c r="E124" s="259">
        <f t="shared" si="100"/>
        <v>0</v>
      </c>
    </row>
    <row r="125" spans="1:30">
      <c r="D125" s="259">
        <v>0</v>
      </c>
      <c r="E125" s="259">
        <f t="shared" si="100"/>
        <v>0</v>
      </c>
    </row>
    <row r="126" spans="1:30">
      <c r="D126" s="259">
        <v>0</v>
      </c>
      <c r="E126" s="259">
        <f t="shared" si="100"/>
        <v>0</v>
      </c>
    </row>
    <row r="127" spans="1:30">
      <c r="D127" s="259">
        <v>0</v>
      </c>
      <c r="E127" s="259">
        <f t="shared" si="100"/>
        <v>0</v>
      </c>
    </row>
    <row r="128" spans="1:30">
      <c r="D128" s="259">
        <v>0</v>
      </c>
      <c r="E128" s="259">
        <f t="shared" si="100"/>
        <v>0</v>
      </c>
    </row>
    <row r="129" spans="4:5">
      <c r="D129" s="259">
        <v>0</v>
      </c>
      <c r="E129" s="259">
        <f t="shared" si="100"/>
        <v>0</v>
      </c>
    </row>
    <row r="130" spans="4:5">
      <c r="D130" s="259">
        <v>0</v>
      </c>
      <c r="E130" s="259">
        <f t="shared" si="100"/>
        <v>0</v>
      </c>
    </row>
    <row r="131" spans="4:5">
      <c r="D131" s="259">
        <v>0</v>
      </c>
      <c r="E131" s="160">
        <f t="shared" si="100"/>
        <v>0</v>
      </c>
    </row>
  </sheetData>
  <sheetProtection password="CCB8" sheet="1" objects="1" scenarios="1"/>
  <customSheetViews>
    <customSheetView guid="{90660716-89FA-46FB-859D-354C90F91A05}" hiddenColumns="1">
      <pane ySplit="9" topLeftCell="A88" activePane="bottomLeft" state="frozen"/>
      <selection pane="bottomLeft" activeCell="AQ108" sqref="AQ108"/>
      <pageMargins left="0.74791666666666667" right="0.74791666666666667" top="0.98402777777777772" bottom="0.98402777777777772" header="0.51180555555555551" footer="0.51180555555555551"/>
      <pageSetup paperSize="9" firstPageNumber="0" orientation="portrait" horizontalDpi="300" verticalDpi="300" r:id="rId1"/>
      <headerFooter alignWithMargins="0"/>
    </customSheetView>
  </customSheetView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28</vt:i4>
      </vt:variant>
    </vt:vector>
  </HeadingPairs>
  <TitlesOfParts>
    <vt:vector size="30" baseType="lpstr">
      <vt:lpstr>Pers_Daten</vt:lpstr>
      <vt:lpstr>Berechn_</vt:lpstr>
      <vt:lpstr>Alter</vt:lpstr>
      <vt:lpstr>D_EIN</vt:lpstr>
      <vt:lpstr>D_END</vt:lpstr>
      <vt:lpstr>Dx</vt:lpstr>
      <vt:lpstr>EA</vt:lpstr>
      <vt:lpstr>einheit</vt:lpstr>
      <vt:lpstr>Excel_BuiltIn_Print_Area_1</vt:lpstr>
      <vt:lpstr>GS</vt:lpstr>
      <vt:lpstr>JBeitr</vt:lpstr>
      <vt:lpstr>k</vt:lpstr>
      <vt:lpstr>N_EIN</vt:lpstr>
      <vt:lpstr>N_END</vt:lpstr>
      <vt:lpstr>Nx</vt:lpstr>
      <vt:lpstr>p___0</vt:lpstr>
      <vt:lpstr>Rentzus</vt:lpstr>
      <vt:lpstr>Rückstell</vt:lpstr>
      <vt:lpstr>st___0</vt:lpstr>
      <vt:lpstr>t___0</vt:lpstr>
      <vt:lpstr>Tarif</vt:lpstr>
      <vt:lpstr>Todkap</vt:lpstr>
      <vt:lpstr>Über</vt:lpstr>
      <vt:lpstr>V</vt:lpstr>
      <vt:lpstr>Vielfach</vt:lpstr>
      <vt:lpstr>VS</vt:lpstr>
      <vt:lpstr>x</vt:lpstr>
      <vt:lpstr>X_EIN</vt:lpstr>
      <vt:lpstr>X_END</vt:lpstr>
      <vt:lpstr>Zins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Bärbel Ludewig</dc:creator>
  <cp:lastModifiedBy>Martin Mette</cp:lastModifiedBy>
  <cp:lastPrinted>2013-08-28T06:42:13Z</cp:lastPrinted>
  <dcterms:created xsi:type="dcterms:W3CDTF">2012-11-09T15:54:47Z</dcterms:created>
  <dcterms:modified xsi:type="dcterms:W3CDTF">2024-09-30T16:23:22Z</dcterms:modified>
</cp:coreProperties>
</file>